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\DigCirc 2018\"/>
    </mc:Choice>
  </mc:AlternateContent>
  <bookViews>
    <workbookView xWindow="360" yWindow="270" windowWidth="18810" windowHeight="8700" activeTab="1"/>
  </bookViews>
  <sheets>
    <sheet name="VTC-1" sheetId="10" r:id="rId1"/>
    <sheet name="VTC-2 " sheetId="11" r:id="rId2"/>
    <sheet name="NOISE MARGINS" sheetId="12" r:id="rId3"/>
    <sheet name="STATIC CURRENT" sheetId="13" r:id="rId4"/>
    <sheet name="CALCULATION PAGE" sheetId="9" r:id="rId5"/>
  </sheets>
  <definedNames>
    <definedName name="a0">'CALCULATION PAGE'!$E$24</definedName>
    <definedName name="b0">'CALCULATION PAGE'!$E$25</definedName>
    <definedName name="e0">'CALCULATION PAGE'!#REF!</definedName>
    <definedName name="f0">'VTC-2 '!$K$24</definedName>
    <definedName name="g0">'VTC-2 '!$K$25</definedName>
    <definedName name="kkn">'VTC-1'!$R$3</definedName>
    <definedName name="kkp">'VTC-1'!$R$4</definedName>
    <definedName name="kn">'VTC-1'!$R$3</definedName>
    <definedName name="kp">'VTC-1'!$R$4</definedName>
    <definedName name="O0">'CALCULATION PAGE'!$P$2:$P$42</definedName>
    <definedName name="s0">'CALCULATION PAGE'!$O$2:$O$42</definedName>
    <definedName name="V00">'CALCULATION PAGE'!$A$34:$A$35</definedName>
    <definedName name="VD">'CALCULATION PAGE'!$B$29</definedName>
    <definedName name="VDD">'CALCULATION PAGE'!$B$29</definedName>
    <definedName name="VI">'VTC-1'!$R$2</definedName>
    <definedName name="VIH0">'CALCULATION PAGE'!$A$35</definedName>
    <definedName name="VIL0">'CALCULATION PAGE'!$A$34</definedName>
    <definedName name="VIN">'STATIC CURRENT'!$J$2:$J$20</definedName>
    <definedName name="VIN0">'VTC-1'!$R$2</definedName>
    <definedName name="VINN">'CALCULATION PAGE'!$D$2:$D$20</definedName>
    <definedName name="VN">'CALCULATION PAGE'!$B$26</definedName>
    <definedName name="VO">'CALCULATION PAGE'!$A$2:$A$22</definedName>
    <definedName name="VOH">'CALCULATION PAGE'!$B$34</definedName>
    <definedName name="VOL">'CALCULATION PAGE'!$B$35</definedName>
    <definedName name="VP">'CALCULATION PAGE'!$B$27</definedName>
    <definedName name="VSW">'CALCULATION PAGE'!$B$30</definedName>
    <definedName name="VSW0">'VTC-1'!$R$13</definedName>
    <definedName name="VSWW">'CALCULATION PAGE'!$B$30</definedName>
    <definedName name="VTN">'CALCULATION PAGE'!$B$26</definedName>
    <definedName name="VTP">'CALCULATION PAGE'!$B$27</definedName>
    <definedName name="x">'VTC-1'!$R$11</definedName>
    <definedName name="x0">'CALCULATION PAGE'!$E$26</definedName>
  </definedNames>
  <calcPr calcId="152511"/>
</workbook>
</file>

<file path=xl/calcChain.xml><?xml version="1.0" encoding="utf-8"?>
<calcChain xmlns="http://schemas.openxmlformats.org/spreadsheetml/2006/main">
  <c r="K12" i="13" l="1"/>
  <c r="R11" i="10"/>
  <c r="E24" i="9" l="1"/>
  <c r="E25" i="9"/>
  <c r="G2" i="9"/>
  <c r="E3" i="9"/>
  <c r="K3" i="13" s="1"/>
  <c r="E4" i="9"/>
  <c r="K4" i="13" s="1"/>
  <c r="E2" i="9"/>
  <c r="K2" i="13" s="1"/>
  <c r="J2" i="13"/>
  <c r="I2" i="9"/>
  <c r="I3" i="9"/>
  <c r="I5" i="9"/>
  <c r="I6" i="9"/>
  <c r="H18" i="9"/>
  <c r="H24" i="9"/>
  <c r="H22" i="9"/>
  <c r="J20" i="9"/>
  <c r="I21" i="9"/>
  <c r="I20" i="9"/>
  <c r="H21" i="9"/>
  <c r="H20" i="9"/>
  <c r="H17" i="9"/>
  <c r="K7" i="9"/>
  <c r="L3" i="9"/>
  <c r="M3" i="9" s="1"/>
  <c r="L4" i="9"/>
  <c r="M4" i="9" s="1"/>
  <c r="L5" i="9"/>
  <c r="M5" i="9" s="1"/>
  <c r="L6" i="9"/>
  <c r="K6" i="9" s="1"/>
  <c r="L7" i="9"/>
  <c r="M7" i="9" s="1"/>
  <c r="L8" i="9"/>
  <c r="M8" i="9" s="1"/>
  <c r="L9" i="9"/>
  <c r="M9" i="9" s="1"/>
  <c r="L10" i="9"/>
  <c r="K10" i="9" s="1"/>
  <c r="L11" i="9"/>
  <c r="M11" i="9" s="1"/>
  <c r="L12" i="9"/>
  <c r="M12" i="9" s="1"/>
  <c r="L13" i="9"/>
  <c r="M13" i="9" s="1"/>
  <c r="L14" i="9"/>
  <c r="K14" i="9" s="1"/>
  <c r="L15" i="9"/>
  <c r="M15" i="9" s="1"/>
  <c r="L16" i="9"/>
  <c r="K16" i="9" s="1"/>
  <c r="L17" i="9"/>
  <c r="M17" i="9" s="1"/>
  <c r="L18" i="9"/>
  <c r="K18" i="9" s="1"/>
  <c r="L19" i="9"/>
  <c r="M19" i="9" s="1"/>
  <c r="L20" i="9"/>
  <c r="K20" i="9" s="1"/>
  <c r="L21" i="9"/>
  <c r="M21" i="9" s="1"/>
  <c r="L22" i="9"/>
  <c r="K22" i="9" s="1"/>
  <c r="L23" i="9"/>
  <c r="M23" i="9" s="1"/>
  <c r="L24" i="9"/>
  <c r="K24" i="9" s="1"/>
  <c r="L25" i="9"/>
  <c r="M25" i="9" s="1"/>
  <c r="L26" i="9"/>
  <c r="K26" i="9" s="1"/>
  <c r="L27" i="9"/>
  <c r="M27" i="9" s="1"/>
  <c r="L28" i="9"/>
  <c r="K28" i="9" s="1"/>
  <c r="L29" i="9"/>
  <c r="M29" i="9" s="1"/>
  <c r="L30" i="9"/>
  <c r="K30" i="9" s="1"/>
  <c r="L31" i="9"/>
  <c r="M31" i="9" s="1"/>
  <c r="L32" i="9"/>
  <c r="K32" i="9" s="1"/>
  <c r="L33" i="9"/>
  <c r="M33" i="9" s="1"/>
  <c r="L34" i="9"/>
  <c r="K34" i="9" s="1"/>
  <c r="L35" i="9"/>
  <c r="M35" i="9" s="1"/>
  <c r="L36" i="9"/>
  <c r="K36" i="9" s="1"/>
  <c r="L37" i="9"/>
  <c r="M37" i="9" s="1"/>
  <c r="L38" i="9"/>
  <c r="K38" i="9" s="1"/>
  <c r="L39" i="9"/>
  <c r="M39" i="9" s="1"/>
  <c r="L40" i="9"/>
  <c r="K40" i="9" s="1"/>
  <c r="L41" i="9"/>
  <c r="M41" i="9" s="1"/>
  <c r="L42" i="9"/>
  <c r="K42" i="9" s="1"/>
  <c r="L2" i="9"/>
  <c r="M2" i="9" s="1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" i="9"/>
  <c r="K2" i="9" l="1"/>
  <c r="K35" i="9"/>
  <c r="K27" i="9"/>
  <c r="K19" i="9"/>
  <c r="K9" i="9"/>
  <c r="K41" i="9"/>
  <c r="K33" i="9"/>
  <c r="K25" i="9"/>
  <c r="K17" i="9"/>
  <c r="K39" i="9"/>
  <c r="K31" i="9"/>
  <c r="K23" i="9"/>
  <c r="K15" i="9"/>
  <c r="K5" i="9"/>
  <c r="K13" i="9"/>
  <c r="K37" i="9"/>
  <c r="K29" i="9"/>
  <c r="K21" i="9"/>
  <c r="K11" i="9"/>
  <c r="K3" i="9"/>
  <c r="M42" i="9"/>
  <c r="M38" i="9"/>
  <c r="M34" i="9"/>
  <c r="M30" i="9"/>
  <c r="M26" i="9"/>
  <c r="M22" i="9"/>
  <c r="M18" i="9"/>
  <c r="M14" i="9"/>
  <c r="M10" i="9"/>
  <c r="M6" i="9"/>
  <c r="K12" i="9"/>
  <c r="K8" i="9"/>
  <c r="K4" i="9"/>
  <c r="M40" i="9"/>
  <c r="M36" i="9"/>
  <c r="M32" i="9"/>
  <c r="M28" i="9"/>
  <c r="M24" i="9"/>
  <c r="M20" i="9"/>
  <c r="M16" i="9"/>
  <c r="A2" i="9"/>
  <c r="D3" i="9"/>
  <c r="E19" i="9"/>
  <c r="K19" i="13" s="1"/>
  <c r="E20" i="9"/>
  <c r="K20" i="13" s="1"/>
  <c r="D18" i="9"/>
  <c r="D20" i="9"/>
  <c r="D19" i="9"/>
  <c r="D4" i="9"/>
  <c r="F20" i="9" l="1"/>
  <c r="J20" i="13"/>
  <c r="G4" i="9"/>
  <c r="J4" i="13"/>
  <c r="F18" i="9"/>
  <c r="J18" i="13"/>
  <c r="G3" i="9"/>
  <c r="J3" i="13"/>
  <c r="F19" i="9"/>
  <c r="J19" i="13"/>
  <c r="A3" i="9"/>
  <c r="P22" i="9"/>
  <c r="P23" i="9"/>
  <c r="P2" i="9"/>
  <c r="P41" i="9"/>
  <c r="P24" i="9"/>
  <c r="P21" i="9"/>
  <c r="P42" i="9"/>
  <c r="P19" i="9"/>
  <c r="P20" i="9"/>
  <c r="F4" i="9"/>
  <c r="G18" i="9"/>
  <c r="I22" i="9" l="1"/>
  <c r="I23" i="9"/>
  <c r="A4" i="9"/>
  <c r="A5" i="9" l="1"/>
  <c r="A6" i="9" l="1"/>
  <c r="A7" i="9" l="1"/>
  <c r="A8" i="9" l="1"/>
  <c r="A9" i="9" l="1"/>
  <c r="A10" i="9" l="1"/>
  <c r="A11" i="9" l="1"/>
  <c r="A12" i="9" l="1"/>
  <c r="A13" i="9" l="1"/>
  <c r="A14" i="9" l="1"/>
  <c r="A15" i="9" l="1"/>
  <c r="A16" i="9" l="1"/>
  <c r="A17" i="9" l="1"/>
  <c r="A18" i="9" l="1"/>
  <c r="A19" i="9" l="1"/>
  <c r="A20" i="9" l="1"/>
  <c r="A21" i="9" l="1"/>
  <c r="A22" i="9" l="1"/>
  <c r="M18" i="13" l="1"/>
  <c r="E18" i="9"/>
  <c r="K18" i="13" s="1"/>
  <c r="R13" i="10"/>
  <c r="E26" i="9"/>
  <c r="I18" i="9" l="1"/>
  <c r="I17" i="9"/>
  <c r="C35" i="9"/>
  <c r="A35" i="9" s="1"/>
  <c r="C34" i="9"/>
  <c r="A34" i="9" s="1"/>
  <c r="B34" i="9" s="1"/>
  <c r="K5" i="12" s="1"/>
  <c r="B30" i="9"/>
  <c r="R18" i="10" l="1"/>
  <c r="R17" i="10"/>
  <c r="R16" i="10"/>
  <c r="K4" i="12"/>
  <c r="D35" i="9"/>
  <c r="B35" i="9"/>
  <c r="K6" i="12" s="1"/>
  <c r="K3" i="12"/>
  <c r="F32" i="9"/>
  <c r="F31" i="9"/>
  <c r="D40" i="9"/>
  <c r="A38" i="9"/>
  <c r="D39" i="9"/>
  <c r="K9" i="11"/>
  <c r="A39" i="9"/>
  <c r="Q42" i="9"/>
  <c r="Q19" i="9"/>
  <c r="P39" i="9"/>
  <c r="Q39" i="9" s="1"/>
  <c r="P28" i="9"/>
  <c r="Q28" i="9" s="1"/>
  <c r="P7" i="9"/>
  <c r="Q7" i="9" s="1"/>
  <c r="E11" i="9"/>
  <c r="K11" i="13" s="1"/>
  <c r="D5" i="9"/>
  <c r="D12" i="9"/>
  <c r="Q23" i="9"/>
  <c r="Q20" i="9"/>
  <c r="Q41" i="9"/>
  <c r="Q24" i="9"/>
  <c r="D11" i="9"/>
  <c r="P10" i="9"/>
  <c r="P40" i="9"/>
  <c r="Q40" i="9" s="1"/>
  <c r="P13" i="9"/>
  <c r="Q13" i="9" s="1"/>
  <c r="P4" i="9"/>
  <c r="Q4" i="9" s="1"/>
  <c r="P8" i="9"/>
  <c r="Q8" i="9" s="1"/>
  <c r="P30" i="9"/>
  <c r="Q30" i="9" s="1"/>
  <c r="P12" i="9"/>
  <c r="Q12" i="9" s="1"/>
  <c r="P37" i="9"/>
  <c r="Q37" i="9" s="1"/>
  <c r="P9" i="9"/>
  <c r="Q9" i="9" s="1"/>
  <c r="Q2" i="9"/>
  <c r="P26" i="9"/>
  <c r="Q26" i="9" s="1"/>
  <c r="P27" i="9"/>
  <c r="Q27" i="9" s="1"/>
  <c r="P32" i="9"/>
  <c r="Q32" i="9" s="1"/>
  <c r="P33" i="9"/>
  <c r="Q33" i="9" s="1"/>
  <c r="P29" i="9"/>
  <c r="Q29" i="9" s="1"/>
  <c r="P14" i="9"/>
  <c r="Q14" i="9" s="1"/>
  <c r="P31" i="9"/>
  <c r="Q31" i="9" s="1"/>
  <c r="E12" i="9"/>
  <c r="P36" i="9"/>
  <c r="Q36" i="9" s="1"/>
  <c r="P6" i="9"/>
  <c r="Q6" i="9" s="1"/>
  <c r="P16" i="9"/>
  <c r="Q16" i="9" s="1"/>
  <c r="P3" i="9"/>
  <c r="Q3" i="9" s="1"/>
  <c r="Q21" i="9"/>
  <c r="P5" i="9"/>
  <c r="Q5" i="9" s="1"/>
  <c r="P38" i="9"/>
  <c r="Q38" i="9" s="1"/>
  <c r="P18" i="9"/>
  <c r="Q18" i="9" s="1"/>
  <c r="P11" i="9"/>
  <c r="E10" i="9"/>
  <c r="K10" i="13" s="1"/>
  <c r="Q22" i="9"/>
  <c r="P15" i="9"/>
  <c r="Q15" i="9" s="1"/>
  <c r="P25" i="9"/>
  <c r="Q25" i="9" s="1"/>
  <c r="P35" i="9"/>
  <c r="Q35" i="9" s="1"/>
  <c r="P34" i="9"/>
  <c r="Q34" i="9" s="1"/>
  <c r="P17" i="9"/>
  <c r="Q17" i="9" s="1"/>
  <c r="B38" i="9"/>
  <c r="C41" i="9"/>
  <c r="C40" i="9"/>
  <c r="F34" i="9"/>
  <c r="B41" i="9"/>
  <c r="B37" i="9"/>
  <c r="C37" i="9"/>
  <c r="F33" i="9"/>
  <c r="K10" i="11"/>
  <c r="G36" i="9"/>
  <c r="C39" i="9"/>
  <c r="B39" i="9"/>
  <c r="C38" i="9"/>
  <c r="B40" i="9"/>
  <c r="G35" i="9"/>
  <c r="K11" i="11"/>
  <c r="D34" i="9"/>
  <c r="D41" i="9" l="1"/>
  <c r="D38" i="9"/>
  <c r="D37" i="9"/>
  <c r="A40" i="9"/>
  <c r="K12" i="11"/>
  <c r="G38" i="9"/>
  <c r="G37" i="9"/>
  <c r="A37" i="9"/>
  <c r="A41" i="9"/>
  <c r="G5" i="9"/>
  <c r="J5" i="13"/>
  <c r="F5" i="9"/>
  <c r="D6" i="9"/>
  <c r="E5" i="9"/>
  <c r="K5" i="13" s="1"/>
  <c r="I24" i="9"/>
  <c r="Q10" i="9"/>
  <c r="I25" i="9"/>
  <c r="Q11" i="9"/>
  <c r="J11" i="13"/>
  <c r="F11" i="9"/>
  <c r="G11" i="9"/>
  <c r="H7" i="9"/>
  <c r="C9" i="9"/>
  <c r="C17" i="9"/>
  <c r="C3" i="9"/>
  <c r="B9" i="9"/>
  <c r="C20" i="9"/>
  <c r="C4" i="9"/>
  <c r="B15" i="9"/>
  <c r="C18" i="9"/>
  <c r="B14" i="9"/>
  <c r="B10" i="9"/>
  <c r="B6" i="9"/>
  <c r="C22" i="9"/>
  <c r="C11" i="9"/>
  <c r="C19" i="9"/>
  <c r="H9" i="9"/>
  <c r="C12" i="9"/>
  <c r="H8" i="9"/>
  <c r="C7" i="9"/>
  <c r="B18" i="9"/>
  <c r="B3" i="9"/>
  <c r="B7" i="9"/>
  <c r="I7" i="9"/>
  <c r="B17" i="9"/>
  <c r="B12" i="9"/>
  <c r="C13" i="9"/>
  <c r="B2" i="9"/>
  <c r="I8" i="9"/>
  <c r="J8" i="9" s="1"/>
  <c r="B13" i="9"/>
  <c r="I9" i="9"/>
  <c r="B20" i="9"/>
  <c r="B4" i="9"/>
  <c r="B5" i="9"/>
  <c r="B11" i="9"/>
  <c r="B21" i="9"/>
  <c r="C10" i="9"/>
  <c r="B19" i="9"/>
  <c r="C6" i="9"/>
  <c r="B22" i="9"/>
  <c r="C16" i="9"/>
  <c r="C5" i="9"/>
  <c r="C14" i="9"/>
  <c r="B8" i="9"/>
  <c r="C21" i="9"/>
  <c r="C15" i="9"/>
  <c r="C2" i="9"/>
  <c r="C8" i="9"/>
  <c r="B16" i="9"/>
  <c r="D13" i="9"/>
  <c r="F12" i="9"/>
  <c r="J12" i="13"/>
  <c r="G12" i="9"/>
  <c r="J7" i="9" l="1"/>
  <c r="F6" i="9"/>
  <c r="J6" i="13"/>
  <c r="E6" i="9"/>
  <c r="K6" i="13" s="1"/>
  <c r="G6" i="9"/>
  <c r="D7" i="9"/>
  <c r="G13" i="9"/>
  <c r="E13" i="9"/>
  <c r="K13" i="13" s="1"/>
  <c r="F13" i="9"/>
  <c r="J13" i="13"/>
  <c r="D14" i="9"/>
  <c r="J9" i="9"/>
  <c r="J14" i="13" l="1"/>
  <c r="E14" i="9"/>
  <c r="K14" i="13" s="1"/>
  <c r="G14" i="9"/>
  <c r="F14" i="9"/>
  <c r="D15" i="9"/>
  <c r="J7" i="13"/>
  <c r="G7" i="9"/>
  <c r="D8" i="9"/>
  <c r="E7" i="9"/>
  <c r="K7" i="13" s="1"/>
  <c r="F7" i="9"/>
  <c r="D16" i="9" l="1"/>
  <c r="G15" i="9"/>
  <c r="F15" i="9"/>
  <c r="J15" i="13"/>
  <c r="E15" i="9"/>
  <c r="K15" i="13" s="1"/>
  <c r="J8" i="13"/>
  <c r="E8" i="9"/>
  <c r="K8" i="13" s="1"/>
  <c r="G8" i="9"/>
  <c r="F8" i="9"/>
  <c r="D9" i="9"/>
  <c r="J9" i="13" l="1"/>
  <c r="D10" i="9"/>
  <c r="G9" i="9"/>
  <c r="E9" i="9"/>
  <c r="K9" i="13" s="1"/>
  <c r="F9" i="9"/>
  <c r="E16" i="9"/>
  <c r="K16" i="13" s="1"/>
  <c r="G16" i="9"/>
  <c r="F16" i="9"/>
  <c r="J16" i="13"/>
  <c r="D17" i="9"/>
  <c r="J17" i="13" l="1"/>
  <c r="E17" i="9"/>
  <c r="K17" i="13" s="1"/>
  <c r="G17" i="9"/>
  <c r="F17" i="9"/>
  <c r="J10" i="13"/>
  <c r="G10" i="9"/>
  <c r="F10" i="9"/>
</calcChain>
</file>

<file path=xl/sharedStrings.xml><?xml version="1.0" encoding="utf-8"?>
<sst xmlns="http://schemas.openxmlformats.org/spreadsheetml/2006/main" count="104" uniqueCount="69">
  <si>
    <t>VDD=</t>
  </si>
  <si>
    <t>p-channel</t>
  </si>
  <si>
    <t>V</t>
  </si>
  <si>
    <t>VIN-VTN</t>
  </si>
  <si>
    <t>VIN-VTP</t>
  </si>
  <si>
    <t>VIN</t>
  </si>
  <si>
    <t>VOUT</t>
  </si>
  <si>
    <t>x&lt;&gt;1</t>
  </si>
  <si>
    <t>derivative</t>
  </si>
  <si>
    <t>NML=</t>
  </si>
  <si>
    <t>NMH=</t>
  </si>
  <si>
    <t>VTN=</t>
  </si>
  <si>
    <t>VSW=</t>
  </si>
  <si>
    <t>NOISE MARGIN HIGH</t>
  </si>
  <si>
    <t>NOISE MARGIN LOW</t>
  </si>
  <si>
    <t>n-channel</t>
  </si>
  <si>
    <t>VTP=</t>
  </si>
  <si>
    <t>uA/V^2</t>
  </si>
  <si>
    <t>b=VDD+VTP</t>
  </si>
  <si>
    <t>x0=kn/kp</t>
  </si>
  <si>
    <t>TIME</t>
  </si>
  <si>
    <t>OUTPUT SIGNAL 1</t>
  </si>
  <si>
    <t>OUTPUT SIGNAL 2</t>
  </si>
  <si>
    <t>BIAS POINTS</t>
  </si>
  <si>
    <t>VOUT=</t>
  </si>
  <si>
    <t>VT LIMITS</t>
  </si>
  <si>
    <t>DISPLACED TIME AXES</t>
  </si>
  <si>
    <t>INPUT signal</t>
  </si>
  <si>
    <t>top value  (f0)</t>
  </si>
  <si>
    <t>min value (g0)</t>
  </si>
  <si>
    <t>in signal max and min values</t>
  </si>
  <si>
    <t>SIGNAL IN</t>
  </si>
  <si>
    <t>VIL,max</t>
  </si>
  <si>
    <t>VIH,min</t>
  </si>
  <si>
    <t>VALUES THAT YOU CAN SET TO CHANGE GRAPH</t>
  </si>
  <si>
    <t>CALCULATED NOISE MARGIN VALUES</t>
  </si>
  <si>
    <t>VOH,min</t>
  </si>
  <si>
    <t>VOL,max</t>
  </si>
  <si>
    <t>CALCULATE THE HIGH AND LOW NOISE MARGINS</t>
  </si>
  <si>
    <t>IDSAT,N</t>
  </si>
  <si>
    <t>IDSAT,P</t>
  </si>
  <si>
    <t>IN THIS TABLE, THE DIFFERENT REGIONS HAVE BEEN COLOR CODED</t>
  </si>
  <si>
    <t>THIS GRAPH IS PREPARED SO THAT, IF YOU ENTER THE SQUARE-LAW SATURATION CURRENT FORMULAS, A GRAPH SHOWING THE SHORT-CKT CURRENT WILL APPEAR!</t>
  </si>
  <si>
    <t>THE CMOS VTC CAN BE OBTAINED BY MAKING IDS,N EQUAL TO IDS,P</t>
  </si>
  <si>
    <t>PARAMETER VALUES THAT YOU CAN CHANGE:</t>
  </si>
  <si>
    <t>AS AN EXAMPLE, THE SWITCHING VOLTAGE IS OBTAINED BY MAKING</t>
  </si>
  <si>
    <t>N-CHANNEL SATURATION CURRENT EQUAL TO P-CHANNEL SATURATION CURRENT!</t>
  </si>
  <si>
    <t>kN/2*(VIN-VTP)^2=kP/2*(VIN-VDD+VTP)^2</t>
  </si>
  <si>
    <t>VIN0=</t>
  </si>
  <si>
    <t>PARAMETER VALUES MARKED AS "CALCULATED" CAN ONLY BE CHANGED BY CHANGING</t>
  </si>
  <si>
    <t>VIN0, VTN, VTP, kN, and kP</t>
  </si>
  <si>
    <t>bias point(s)</t>
  </si>
  <si>
    <t>x=kN/kP=</t>
  </si>
  <si>
    <t>CALCULATED BIAS POINT(S) - RED RING(S)</t>
  </si>
  <si>
    <t>kN=(&lt;400)</t>
  </si>
  <si>
    <t>KP=(&lt;400)</t>
  </si>
  <si>
    <t>RESULTING RATIO kN/kP</t>
  </si>
  <si>
    <t>Keep kN and kP less</t>
  </si>
  <si>
    <t>than 400 uA/V^2 to</t>
  </si>
  <si>
    <t>stay within scales</t>
  </si>
  <si>
    <t>CALCULATED SWITCHING VOLTAGE</t>
  </si>
  <si>
    <t>a=VTN</t>
  </si>
  <si>
    <t>VTC means VOLTAGE TRANSFER CHARACTERISTIC</t>
  </si>
  <si>
    <t>VIN is the input to inverter#1</t>
  </si>
  <si>
    <t>and the input voltage to inverter#2</t>
  </si>
  <si>
    <t>VOUT-1 is the output voltage from inverter#1</t>
  </si>
  <si>
    <t>VOUT-2 is the output voltage from inverter#2</t>
  </si>
  <si>
    <t>There is no delay between input and output signals here, the "experiment" is what we say quasi-static</t>
  </si>
  <si>
    <t>Quasi-static means almost steady-state, the input voltage is gradually increased very slowly.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</si>
</sst>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 vertical="center"/>
    </xf>
    <xf numFmtId="0" fontId="0" fillId="0" borderId="3" xfId="0" applyFill="1" applyBorder="1"/>
    <xf numFmtId="0" fontId="0" fillId="0" borderId="5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6" xfId="0" applyFill="1" applyBorder="1"/>
    <xf numFmtId="0" fontId="0" fillId="0" borderId="7" xfId="0" applyFill="1" applyBorder="1"/>
    <xf numFmtId="0" fontId="0" fillId="3" borderId="8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7" xfId="0" applyFill="1" applyBorder="1"/>
    <xf numFmtId="0" fontId="2" fillId="0" borderId="0" xfId="0" applyFont="1" applyFill="1"/>
    <xf numFmtId="0" fontId="2" fillId="0" borderId="0" xfId="0" applyFont="1"/>
    <xf numFmtId="0" fontId="0" fillId="5" borderId="0" xfId="0" applyFill="1"/>
    <xf numFmtId="2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0" xfId="0" applyFill="1"/>
    <xf numFmtId="164" fontId="0" fillId="6" borderId="0" xfId="0" applyNumberFormat="1" applyFill="1"/>
    <xf numFmtId="0" fontId="0" fillId="6" borderId="3" xfId="0" applyFill="1" applyBorder="1"/>
    <xf numFmtId="0" fontId="0" fillId="6" borderId="4" xfId="0" applyFill="1" applyBorder="1"/>
    <xf numFmtId="2" fontId="0" fillId="6" borderId="0" xfId="0" applyNumberFormat="1" applyFill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2" xfId="0" applyFill="1" applyBorder="1"/>
    <xf numFmtId="0" fontId="0" fillId="6" borderId="12" xfId="0" applyFill="1" applyBorder="1"/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9" xfId="0" applyFill="1" applyBorder="1"/>
    <xf numFmtId="0" fontId="0" fillId="6" borderId="10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3D69B"/>
      <color rgb="FF3399FF"/>
      <color rgb="FF92D050"/>
      <color rgb="FF00CC00"/>
      <color rgb="FFFF0000"/>
      <color rgb="FF385D8A"/>
      <color rgb="FF00B050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VTC</a:t>
            </a:r>
          </a:p>
        </c:rich>
      </c:tx>
      <c:layout>
        <c:manualLayout>
          <c:xMode val="edge"/>
          <c:yMode val="edge"/>
          <c:x val="0.4777029130776716"/>
          <c:y val="9.52377405153341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6378551631049"/>
          <c:y val="0.1033980822091282"/>
          <c:w val="0.80704561477332604"/>
          <c:h val="0.769487980751324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'CALCULATION PAGE'!$E$1</c:f>
              <c:strCache>
                <c:ptCount val="1"/>
                <c:pt idx="0">
                  <c:v>VOUT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PAGE'!$E$2:$E$20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0.99743325873106148</c:v>
                </c:pt>
                <c:pt idx="4">
                  <c:v>0.98879563597877096</c:v>
                </c:pt>
                <c:pt idx="5">
                  <c:v>0.971959830145249</c:v>
                </c:pt>
                <c:pt idx="6">
                  <c:v>0.94280904158206336</c:v>
                </c:pt>
                <c:pt idx="7">
                  <c:v>0.89081835486727923</c:v>
                </c:pt>
                <c:pt idx="8">
                  <c:v>0.70710678118654746</c:v>
                </c:pt>
                <c:pt idx="9">
                  <c:v>0.45710678118654752</c:v>
                </c:pt>
                <c:pt idx="10">
                  <c:v>0.20710678118654752</c:v>
                </c:pt>
                <c:pt idx="11">
                  <c:v>6.6953338283713193E-2</c:v>
                </c:pt>
                <c:pt idx="12">
                  <c:v>3.3073526450774604E-2</c:v>
                </c:pt>
                <c:pt idx="13">
                  <c:v>1.5505028229784557E-2</c:v>
                </c:pt>
                <c:pt idx="14">
                  <c:v>5.9665553946088301E-3</c:v>
                </c:pt>
                <c:pt idx="15">
                  <c:v>1.3223270587438551E-3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DC-4084-88AC-ED9996AC7310}"/>
            </c:ext>
          </c:extLst>
        </c:ser>
        <c:ser>
          <c:idx val="2"/>
          <c:order val="1"/>
          <c:tx>
            <c:strRef>
              <c:f>'CALCULATION PAGE'!$F$1</c:f>
              <c:strCache>
                <c:ptCount val="1"/>
                <c:pt idx="0">
                  <c:v>VIN-VTN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PAGE'!$F$2:$F$20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3.4517796864424577E-2</c:v>
                </c:pt>
                <c:pt idx="4">
                  <c:v>6.9035593728849154E-2</c:v>
                </c:pt>
                <c:pt idx="5">
                  <c:v>0.10355339059327373</c:v>
                </c:pt>
                <c:pt idx="6">
                  <c:v>0.13807118745769831</c:v>
                </c:pt>
                <c:pt idx="7">
                  <c:v>0.17258898432212288</c:v>
                </c:pt>
                <c:pt idx="8">
                  <c:v>0.20710678118654746</c:v>
                </c:pt>
                <c:pt idx="9">
                  <c:v>0.20710678118654752</c:v>
                </c:pt>
                <c:pt idx="10">
                  <c:v>0.20710678118654752</c:v>
                </c:pt>
                <c:pt idx="11">
                  <c:v>0.25592231765545626</c:v>
                </c:pt>
                <c:pt idx="12">
                  <c:v>0.30473785412436505</c:v>
                </c:pt>
                <c:pt idx="13">
                  <c:v>0.35355339059327384</c:v>
                </c:pt>
                <c:pt idx="14">
                  <c:v>0.40236892706218264</c:v>
                </c:pt>
                <c:pt idx="15">
                  <c:v>0.45118446353109143</c:v>
                </c:pt>
                <c:pt idx="16">
                  <c:v>0.5</c:v>
                </c:pt>
                <c:pt idx="17">
                  <c:v>0.625</c:v>
                </c:pt>
                <c:pt idx="18">
                  <c:v>0.75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CDC-4084-88AC-ED9996AC7310}"/>
            </c:ext>
          </c:extLst>
        </c:ser>
        <c:ser>
          <c:idx val="4"/>
          <c:order val="2"/>
          <c:tx>
            <c:strRef>
              <c:f>'CALCULATION PAGE'!$G$1</c:f>
              <c:strCache>
                <c:ptCount val="1"/>
                <c:pt idx="0">
                  <c:v>VIN-VTP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PAGE'!$G$2:$G$18</c:f>
              <c:numCache>
                <c:formatCode>General</c:formatCode>
                <c:ptCount val="17"/>
                <c:pt idx="0">
                  <c:v>0.25</c:v>
                </c:pt>
                <c:pt idx="1">
                  <c:v>0.45</c:v>
                </c:pt>
                <c:pt idx="2">
                  <c:v>0.5</c:v>
                </c:pt>
                <c:pt idx="3">
                  <c:v>0.53451779686442458</c:v>
                </c:pt>
                <c:pt idx="4">
                  <c:v>0.56903559372884915</c:v>
                </c:pt>
                <c:pt idx="5">
                  <c:v>0.60355339059327373</c:v>
                </c:pt>
                <c:pt idx="6">
                  <c:v>0.63807118745769831</c:v>
                </c:pt>
                <c:pt idx="7">
                  <c:v>0.67258898432212288</c:v>
                </c:pt>
                <c:pt idx="8">
                  <c:v>0.70710678118654746</c:v>
                </c:pt>
                <c:pt idx="9">
                  <c:v>0.70710678118654746</c:v>
                </c:pt>
                <c:pt idx="10">
                  <c:v>0.70710678118654746</c:v>
                </c:pt>
                <c:pt idx="11">
                  <c:v>0.75592231765545626</c:v>
                </c:pt>
                <c:pt idx="12">
                  <c:v>0.80473785412436505</c:v>
                </c:pt>
                <c:pt idx="13">
                  <c:v>0.85355339059327384</c:v>
                </c:pt>
                <c:pt idx="14">
                  <c:v>0.90236892706218264</c:v>
                </c:pt>
                <c:pt idx="15">
                  <c:v>0.95118446353109143</c:v>
                </c:pt>
                <c:pt idx="16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CDC-4084-88AC-ED9996AC7310}"/>
            </c:ext>
          </c:extLst>
        </c:ser>
        <c:ser>
          <c:idx val="3"/>
          <c:order val="3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'CALCULATION PAGE'!$I$2:$I$3</c:f>
              <c:numCache>
                <c:formatCode>General</c:formatCode>
                <c:ptCount val="2"/>
                <c:pt idx="0">
                  <c:v>0.25</c:v>
                </c:pt>
                <c:pt idx="1">
                  <c:v>0.25</c:v>
                </c:pt>
              </c:numCache>
            </c:numRef>
          </c:xVal>
          <c:yVal>
            <c:numRef>
              <c:f>'CALCULATION PAGE'!$J$2:$J$3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BA0-419E-9FB8-E323B9A08BBA}"/>
            </c:ext>
          </c:extLst>
        </c:ser>
        <c:ser>
          <c:idx val="5"/>
          <c:order val="4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'CALCULATION PAGE'!$I$5:$I$6</c:f>
              <c:numCache>
                <c:formatCode>General</c:formatCode>
                <c:ptCount val="2"/>
                <c:pt idx="0">
                  <c:v>0.75</c:v>
                </c:pt>
                <c:pt idx="1">
                  <c:v>0.75</c:v>
                </c:pt>
              </c:numCache>
            </c:numRef>
          </c:xVal>
          <c:yVal>
            <c:numRef>
              <c:f>'CALCULATION PAGE'!$J$5:$J$6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BA0-419E-9FB8-E323B9A08BBA}"/>
            </c:ext>
          </c:extLst>
        </c:ser>
        <c:ser>
          <c:idx val="1"/>
          <c:order val="5"/>
          <c:marker>
            <c:symbol val="circle"/>
            <c:size val="11"/>
            <c:spPr>
              <a:noFill/>
              <a:ln w="25400">
                <a:solidFill>
                  <a:srgbClr val="C00000"/>
                </a:solidFill>
              </a:ln>
            </c:spPr>
          </c:marker>
          <c:xVal>
            <c:numRef>
              <c:f>'CALCULATION PAGE'!$H$7:$H$9</c:f>
              <c:numCache>
                <c:formatCode>General</c:formatCode>
                <c:ptCount val="3"/>
                <c:pt idx="0">
                  <c:v>0.751</c:v>
                </c:pt>
                <c:pt idx="1">
                  <c:v>0.751</c:v>
                </c:pt>
                <c:pt idx="2">
                  <c:v>0.751</c:v>
                </c:pt>
              </c:numCache>
            </c:numRef>
          </c:xVal>
          <c:yVal>
            <c:numRef>
              <c:f>'CALCULATION PAGE'!$I$7:$I$9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BA0-419E-9FB8-E323B9A0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001360"/>
        <c:axId val="231001920"/>
      </c:scatterChart>
      <c:valAx>
        <c:axId val="231001360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VIN [V]</a:t>
                </a:r>
              </a:p>
            </c:rich>
          </c:tx>
          <c:layout>
            <c:manualLayout>
              <c:xMode val="edge"/>
              <c:yMode val="edge"/>
              <c:x val="0.46193388755080728"/>
              <c:y val="0.9304703038519699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001920"/>
        <c:crosses val="autoZero"/>
        <c:crossBetween val="midCat"/>
      </c:valAx>
      <c:valAx>
        <c:axId val="23100192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VOUT [V]</a:t>
                </a:r>
              </a:p>
            </c:rich>
          </c:tx>
          <c:layout>
            <c:manualLayout>
              <c:xMode val="edge"/>
              <c:yMode val="edge"/>
              <c:x val="1.2025932655853916E-2"/>
              <c:y val="0.3510709406894730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001360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530183727034126E-2"/>
          <c:y val="2.8252405949256341E-2"/>
          <c:w val="0.70718482064741905"/>
          <c:h val="0.897198891805190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'CALCULATION PAGE'!$O$1</c:f>
              <c:strCache>
                <c:ptCount val="1"/>
                <c:pt idx="0">
                  <c:v>INPUT signal</c:v>
                </c:pt>
              </c:strCache>
            </c:strRef>
          </c:tx>
          <c:marker>
            <c:symbol val="none"/>
          </c:marker>
          <c:xVal>
            <c:numRef>
              <c:f>'CALCULATION PAGE'!$N$2:$N$42</c:f>
              <c:numCache>
                <c:formatCode>General</c:formatCode>
                <c:ptCount val="4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'CALCULATION PAGE'!$O$2:$O$42</c:f>
              <c:numCache>
                <c:formatCode>General</c:formatCode>
                <c:ptCount val="41"/>
                <c:pt idx="0">
                  <c:v>0.2</c:v>
                </c:pt>
                <c:pt idx="1">
                  <c:v>0.28333333333333333</c:v>
                </c:pt>
                <c:pt idx="2">
                  <c:v>0.3666666666666667</c:v>
                </c:pt>
                <c:pt idx="3">
                  <c:v>0.45</c:v>
                </c:pt>
                <c:pt idx="4">
                  <c:v>0.53333333333333333</c:v>
                </c:pt>
                <c:pt idx="5">
                  <c:v>0.6166666666666667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0.6166666666666667</c:v>
                </c:pt>
                <c:pt idx="13">
                  <c:v>0.53333333333333333</c:v>
                </c:pt>
                <c:pt idx="14">
                  <c:v>0.45</c:v>
                </c:pt>
                <c:pt idx="15">
                  <c:v>0.3666666666666667</c:v>
                </c:pt>
                <c:pt idx="16">
                  <c:v>0.28333333333333333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0.28333333333333333</c:v>
                </c:pt>
                <c:pt idx="24">
                  <c:v>0.3666666666666667</c:v>
                </c:pt>
                <c:pt idx="25">
                  <c:v>0.45</c:v>
                </c:pt>
                <c:pt idx="26">
                  <c:v>0.53333333333333333</c:v>
                </c:pt>
                <c:pt idx="27">
                  <c:v>0.6166666666666667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0.7</c:v>
                </c:pt>
                <c:pt idx="32">
                  <c:v>0.7</c:v>
                </c:pt>
                <c:pt idx="33">
                  <c:v>0.7</c:v>
                </c:pt>
                <c:pt idx="34">
                  <c:v>0.6166666666666667</c:v>
                </c:pt>
                <c:pt idx="35">
                  <c:v>0.53333333333333333</c:v>
                </c:pt>
                <c:pt idx="36">
                  <c:v>0.45</c:v>
                </c:pt>
                <c:pt idx="37">
                  <c:v>0.3666666666666667</c:v>
                </c:pt>
                <c:pt idx="38">
                  <c:v>0.28333333333333333</c:v>
                </c:pt>
                <c:pt idx="39">
                  <c:v>0.2</c:v>
                </c:pt>
                <c:pt idx="40">
                  <c:v>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A4-4200-B5C7-841878D55E9C}"/>
            </c:ext>
          </c:extLst>
        </c:ser>
        <c:ser>
          <c:idx val="1"/>
          <c:order val="1"/>
          <c:tx>
            <c:strRef>
              <c:f>'CALCULATION PAGE'!$P$1</c:f>
              <c:strCache>
                <c:ptCount val="1"/>
                <c:pt idx="0">
                  <c:v>OUTPUT SIGNAL 1</c:v>
                </c:pt>
              </c:strCache>
            </c:strRef>
          </c:tx>
          <c:marker>
            <c:symbol val="none"/>
          </c:marker>
          <c:xVal>
            <c:numRef>
              <c:f>'CALCULATION PAGE'!$N$2:$N$42</c:f>
              <c:numCache>
                <c:formatCode>General</c:formatCode>
                <c:ptCount val="4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'CALCULATION PAGE'!$P$2:$P$42</c:f>
              <c:numCache>
                <c:formatCode>General</c:formatCode>
                <c:ptCount val="41"/>
                <c:pt idx="0">
                  <c:v>1</c:v>
                </c:pt>
                <c:pt idx="1">
                  <c:v>0.99761294257280397</c:v>
                </c:pt>
                <c:pt idx="2">
                  <c:v>0.96267565820044498</c:v>
                </c:pt>
                <c:pt idx="3">
                  <c:v>0.8</c:v>
                </c:pt>
                <c:pt idx="4">
                  <c:v>4.4994172565415158E-2</c:v>
                </c:pt>
                <c:pt idx="5">
                  <c:v>1.2328472908844978E-2</c:v>
                </c:pt>
                <c:pt idx="6">
                  <c:v>1.3910388768409998E-3</c:v>
                </c:pt>
                <c:pt idx="7">
                  <c:v>1.3910388768409998E-3</c:v>
                </c:pt>
                <c:pt idx="8">
                  <c:v>1.3910388768409998E-3</c:v>
                </c:pt>
                <c:pt idx="9">
                  <c:v>1.3910388768409998E-3</c:v>
                </c:pt>
                <c:pt idx="10">
                  <c:v>1.3910388768409998E-3</c:v>
                </c:pt>
                <c:pt idx="11">
                  <c:v>1.3910388768409998E-3</c:v>
                </c:pt>
                <c:pt idx="12">
                  <c:v>1.2328472908844978E-2</c:v>
                </c:pt>
                <c:pt idx="13">
                  <c:v>4.4994172565415158E-2</c:v>
                </c:pt>
                <c:pt idx="14">
                  <c:v>0.8</c:v>
                </c:pt>
                <c:pt idx="15">
                  <c:v>0.96267565820044498</c:v>
                </c:pt>
                <c:pt idx="16">
                  <c:v>0.99761294257280397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0.99761294257280397</c:v>
                </c:pt>
                <c:pt idx="24">
                  <c:v>0.96267565820044498</c:v>
                </c:pt>
                <c:pt idx="25">
                  <c:v>0.8</c:v>
                </c:pt>
                <c:pt idx="26">
                  <c:v>4.4994172565415158E-2</c:v>
                </c:pt>
                <c:pt idx="27">
                  <c:v>1.2328472908844978E-2</c:v>
                </c:pt>
                <c:pt idx="28">
                  <c:v>1.3910388768409998E-3</c:v>
                </c:pt>
                <c:pt idx="29">
                  <c:v>1.3910388768409998E-3</c:v>
                </c:pt>
                <c:pt idx="30">
                  <c:v>1.3910388768409998E-3</c:v>
                </c:pt>
                <c:pt idx="31">
                  <c:v>1.3910388768409998E-3</c:v>
                </c:pt>
                <c:pt idx="32">
                  <c:v>1.3910388768409998E-3</c:v>
                </c:pt>
                <c:pt idx="33">
                  <c:v>1.3910388768409998E-3</c:v>
                </c:pt>
                <c:pt idx="34">
                  <c:v>1.2328472908844978E-2</c:v>
                </c:pt>
                <c:pt idx="35">
                  <c:v>4.4994172565415158E-2</c:v>
                </c:pt>
                <c:pt idx="36">
                  <c:v>0.8</c:v>
                </c:pt>
                <c:pt idx="37">
                  <c:v>0.96267565820044498</c:v>
                </c:pt>
                <c:pt idx="38">
                  <c:v>0.99761294257280397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A4-4200-B5C7-841878D55E9C}"/>
            </c:ext>
          </c:extLst>
        </c:ser>
        <c:ser>
          <c:idx val="2"/>
          <c:order val="2"/>
          <c:tx>
            <c:strRef>
              <c:f>'CALCULATION PAGE'!$Q$1</c:f>
              <c:strCache>
                <c:ptCount val="1"/>
                <c:pt idx="0">
                  <c:v>OUTPUT SIGNAL 2</c:v>
                </c:pt>
              </c:strCache>
            </c:strRef>
          </c:tx>
          <c:marker>
            <c:symbol val="none"/>
          </c:marker>
          <c:xVal>
            <c:numRef>
              <c:f>'CALCULATION PAGE'!$N$2:$N$42</c:f>
              <c:numCache>
                <c:formatCode>General</c:formatCode>
                <c:ptCount val="4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'CALCULATION PAGE'!$Q$2:$Q$42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A4-4200-B5C7-841878D5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351072"/>
        <c:axId val="270351632"/>
      </c:scatterChart>
      <c:valAx>
        <c:axId val="270351072"/>
        <c:scaling>
          <c:orientation val="minMax"/>
          <c:max val="2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270351632"/>
        <c:crosses val="autoZero"/>
        <c:crossBetween val="midCat"/>
      </c:valAx>
      <c:valAx>
        <c:axId val="270351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03510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VTC</a:t>
            </a:r>
          </a:p>
        </c:rich>
      </c:tx>
      <c:layout>
        <c:manualLayout>
          <c:xMode val="edge"/>
          <c:yMode val="edge"/>
          <c:x val="0.36005581881450338"/>
          <c:y val="1.78053830227743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6378551631049"/>
          <c:y val="0.1033980822091282"/>
          <c:w val="0.80704561477332604"/>
          <c:h val="0.769487980751324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'CALCULATION PAGE'!$E$1</c:f>
              <c:strCache>
                <c:ptCount val="1"/>
                <c:pt idx="0">
                  <c:v>VOUT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PAGE'!$E$2:$E$20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0.99743325873106148</c:v>
                </c:pt>
                <c:pt idx="4">
                  <c:v>0.98879563597877096</c:v>
                </c:pt>
                <c:pt idx="5">
                  <c:v>0.971959830145249</c:v>
                </c:pt>
                <c:pt idx="6">
                  <c:v>0.94280904158206336</c:v>
                </c:pt>
                <c:pt idx="7">
                  <c:v>0.89081835486727923</c:v>
                </c:pt>
                <c:pt idx="8">
                  <c:v>0.70710678118654746</c:v>
                </c:pt>
                <c:pt idx="9">
                  <c:v>0.45710678118654752</c:v>
                </c:pt>
                <c:pt idx="10">
                  <c:v>0.20710678118654752</c:v>
                </c:pt>
                <c:pt idx="11">
                  <c:v>6.6953338283713193E-2</c:v>
                </c:pt>
                <c:pt idx="12">
                  <c:v>3.3073526450774604E-2</c:v>
                </c:pt>
                <c:pt idx="13">
                  <c:v>1.5505028229784557E-2</c:v>
                </c:pt>
                <c:pt idx="14">
                  <c:v>5.9665553946088301E-3</c:v>
                </c:pt>
                <c:pt idx="15">
                  <c:v>1.3223270587438551E-3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DC-4084-88AC-ED9996AC7310}"/>
            </c:ext>
          </c:extLst>
        </c:ser>
        <c:ser>
          <c:idx val="5"/>
          <c:order val="2"/>
          <c:tx>
            <c:strRef>
              <c:f>'CALCULATION PAGE'!$O$1</c:f>
              <c:strCache>
                <c:ptCount val="1"/>
                <c:pt idx="0">
                  <c:v>INPUT signal</c:v>
                </c:pt>
              </c:strCache>
            </c:strRef>
          </c:tx>
          <c:marker>
            <c:symbol val="none"/>
          </c:marker>
          <c:xVal>
            <c:numRef>
              <c:f>'CALCULATION PAGE'!$O$2:$O$42</c:f>
              <c:numCache>
                <c:formatCode>General</c:formatCode>
                <c:ptCount val="41"/>
                <c:pt idx="0">
                  <c:v>0.2</c:v>
                </c:pt>
                <c:pt idx="1">
                  <c:v>0.28333333333333333</c:v>
                </c:pt>
                <c:pt idx="2">
                  <c:v>0.3666666666666667</c:v>
                </c:pt>
                <c:pt idx="3">
                  <c:v>0.45</c:v>
                </c:pt>
                <c:pt idx="4">
                  <c:v>0.53333333333333333</c:v>
                </c:pt>
                <c:pt idx="5">
                  <c:v>0.6166666666666667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0.6166666666666667</c:v>
                </c:pt>
                <c:pt idx="13">
                  <c:v>0.53333333333333333</c:v>
                </c:pt>
                <c:pt idx="14">
                  <c:v>0.45</c:v>
                </c:pt>
                <c:pt idx="15">
                  <c:v>0.3666666666666667</c:v>
                </c:pt>
                <c:pt idx="16">
                  <c:v>0.28333333333333333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0.28333333333333333</c:v>
                </c:pt>
                <c:pt idx="24">
                  <c:v>0.3666666666666667</c:v>
                </c:pt>
                <c:pt idx="25">
                  <c:v>0.45</c:v>
                </c:pt>
                <c:pt idx="26">
                  <c:v>0.53333333333333333</c:v>
                </c:pt>
                <c:pt idx="27">
                  <c:v>0.6166666666666667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0.7</c:v>
                </c:pt>
                <c:pt idx="32">
                  <c:v>0.7</c:v>
                </c:pt>
                <c:pt idx="33">
                  <c:v>0.7</c:v>
                </c:pt>
                <c:pt idx="34">
                  <c:v>0.6166666666666667</c:v>
                </c:pt>
                <c:pt idx="35">
                  <c:v>0.53333333333333333</c:v>
                </c:pt>
                <c:pt idx="36">
                  <c:v>0.45</c:v>
                </c:pt>
                <c:pt idx="37">
                  <c:v>0.3666666666666667</c:v>
                </c:pt>
                <c:pt idx="38">
                  <c:v>0.28333333333333333</c:v>
                </c:pt>
                <c:pt idx="39">
                  <c:v>0.2</c:v>
                </c:pt>
                <c:pt idx="40">
                  <c:v>0.2</c:v>
                </c:pt>
              </c:numCache>
            </c:numRef>
          </c:xVal>
          <c:yVal>
            <c:numRef>
              <c:f>'CALCULATION PAGE'!$L$2:$L$42</c:f>
              <c:numCache>
                <c:formatCode>General</c:formatCode>
                <c:ptCount val="4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</c:v>
                </c:pt>
                <c:pt idx="15">
                  <c:v>0.375</c:v>
                </c:pt>
                <c:pt idx="16">
                  <c:v>0.4</c:v>
                </c:pt>
                <c:pt idx="17">
                  <c:v>0.42499999999999999</c:v>
                </c:pt>
                <c:pt idx="18">
                  <c:v>0.45</c:v>
                </c:pt>
                <c:pt idx="19">
                  <c:v>0.47499999999999998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0.57499999999999996</c:v>
                </c:pt>
                <c:pt idx="24">
                  <c:v>0.6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</c:v>
                </c:pt>
                <c:pt idx="29">
                  <c:v>0.72499999999999998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0.82499999999999996</c:v>
                </c:pt>
                <c:pt idx="34">
                  <c:v>0.85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</c:v>
                </c:pt>
                <c:pt idx="39">
                  <c:v>0.97499999999999998</c:v>
                </c:pt>
                <c:pt idx="4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8EB-4718-B298-06E58EFCD6E1}"/>
            </c:ext>
          </c:extLst>
        </c:ser>
        <c:ser>
          <c:idx val="3"/>
          <c:order val="3"/>
          <c:tx>
            <c:strRef>
              <c:f>'CALCULATION PAGE'!$P$1</c:f>
              <c:strCache>
                <c:ptCount val="1"/>
                <c:pt idx="0">
                  <c:v>OUTPUT SIGNAL 1</c:v>
                </c:pt>
              </c:strCache>
            </c:strRef>
          </c:tx>
          <c:marker>
            <c:symbol val="none"/>
          </c:marker>
          <c:xVal>
            <c:numRef>
              <c:f>'CALCULATION PAGE'!$K$2:$K$42</c:f>
              <c:numCache>
                <c:formatCode>General</c:formatCode>
                <c:ptCount val="41"/>
                <c:pt idx="0">
                  <c:v>1</c:v>
                </c:pt>
                <c:pt idx="1">
                  <c:v>1.0249999999999999</c:v>
                </c:pt>
                <c:pt idx="2">
                  <c:v>1.05</c:v>
                </c:pt>
                <c:pt idx="3">
                  <c:v>1.075</c:v>
                </c:pt>
                <c:pt idx="4">
                  <c:v>1.1000000000000001</c:v>
                </c:pt>
                <c:pt idx="5">
                  <c:v>1.125</c:v>
                </c:pt>
                <c:pt idx="6">
                  <c:v>1.1499999999999999</c:v>
                </c:pt>
                <c:pt idx="7">
                  <c:v>1.175</c:v>
                </c:pt>
                <c:pt idx="8">
                  <c:v>1.2</c:v>
                </c:pt>
                <c:pt idx="9">
                  <c:v>1.2250000000000001</c:v>
                </c:pt>
                <c:pt idx="10">
                  <c:v>1.25</c:v>
                </c:pt>
                <c:pt idx="11">
                  <c:v>1.2749999999999999</c:v>
                </c:pt>
                <c:pt idx="12">
                  <c:v>1.3</c:v>
                </c:pt>
                <c:pt idx="13">
                  <c:v>1.325</c:v>
                </c:pt>
                <c:pt idx="14">
                  <c:v>1.35</c:v>
                </c:pt>
                <c:pt idx="15">
                  <c:v>1.375</c:v>
                </c:pt>
                <c:pt idx="16">
                  <c:v>1.4</c:v>
                </c:pt>
                <c:pt idx="17">
                  <c:v>1.425</c:v>
                </c:pt>
                <c:pt idx="18">
                  <c:v>1.45</c:v>
                </c:pt>
                <c:pt idx="19">
                  <c:v>1.4750000000000001</c:v>
                </c:pt>
                <c:pt idx="20">
                  <c:v>1.5</c:v>
                </c:pt>
                <c:pt idx="21">
                  <c:v>1.5249999999999999</c:v>
                </c:pt>
                <c:pt idx="22">
                  <c:v>1.55</c:v>
                </c:pt>
                <c:pt idx="23">
                  <c:v>1.575</c:v>
                </c:pt>
                <c:pt idx="24">
                  <c:v>1.6</c:v>
                </c:pt>
                <c:pt idx="25">
                  <c:v>1.625</c:v>
                </c:pt>
                <c:pt idx="26">
                  <c:v>1.65</c:v>
                </c:pt>
                <c:pt idx="27">
                  <c:v>1.675</c:v>
                </c:pt>
                <c:pt idx="28">
                  <c:v>1.7</c:v>
                </c:pt>
                <c:pt idx="29">
                  <c:v>1.7250000000000001</c:v>
                </c:pt>
                <c:pt idx="30">
                  <c:v>1.75</c:v>
                </c:pt>
                <c:pt idx="31">
                  <c:v>1.7749999999999999</c:v>
                </c:pt>
                <c:pt idx="32">
                  <c:v>1.8</c:v>
                </c:pt>
                <c:pt idx="33">
                  <c:v>1.825</c:v>
                </c:pt>
                <c:pt idx="34">
                  <c:v>1.85</c:v>
                </c:pt>
                <c:pt idx="35">
                  <c:v>1.875</c:v>
                </c:pt>
                <c:pt idx="36">
                  <c:v>1.9</c:v>
                </c:pt>
                <c:pt idx="37">
                  <c:v>1.925</c:v>
                </c:pt>
                <c:pt idx="38">
                  <c:v>1.95</c:v>
                </c:pt>
                <c:pt idx="39">
                  <c:v>1.9750000000000001</c:v>
                </c:pt>
                <c:pt idx="40">
                  <c:v>2</c:v>
                </c:pt>
              </c:numCache>
            </c:numRef>
          </c:xVal>
          <c:yVal>
            <c:numRef>
              <c:f>'CALCULATION PAGE'!$P$2:$P$42</c:f>
              <c:numCache>
                <c:formatCode>General</c:formatCode>
                <c:ptCount val="41"/>
                <c:pt idx="0">
                  <c:v>1</c:v>
                </c:pt>
                <c:pt idx="1">
                  <c:v>0.99761294257280397</c:v>
                </c:pt>
                <c:pt idx="2">
                  <c:v>0.96267565820044498</c:v>
                </c:pt>
                <c:pt idx="3">
                  <c:v>0.8</c:v>
                </c:pt>
                <c:pt idx="4">
                  <c:v>4.4994172565415158E-2</c:v>
                </c:pt>
                <c:pt idx="5">
                  <c:v>1.2328472908844978E-2</c:v>
                </c:pt>
                <c:pt idx="6">
                  <c:v>1.3910388768409998E-3</c:v>
                </c:pt>
                <c:pt idx="7">
                  <c:v>1.3910388768409998E-3</c:v>
                </c:pt>
                <c:pt idx="8">
                  <c:v>1.3910388768409998E-3</c:v>
                </c:pt>
                <c:pt idx="9">
                  <c:v>1.3910388768409998E-3</c:v>
                </c:pt>
                <c:pt idx="10">
                  <c:v>1.3910388768409998E-3</c:v>
                </c:pt>
                <c:pt idx="11">
                  <c:v>1.3910388768409998E-3</c:v>
                </c:pt>
                <c:pt idx="12">
                  <c:v>1.2328472908844978E-2</c:v>
                </c:pt>
                <c:pt idx="13">
                  <c:v>4.4994172565415158E-2</c:v>
                </c:pt>
                <c:pt idx="14">
                  <c:v>0.8</c:v>
                </c:pt>
                <c:pt idx="15">
                  <c:v>0.96267565820044498</c:v>
                </c:pt>
                <c:pt idx="16">
                  <c:v>0.99761294257280397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0.99761294257280397</c:v>
                </c:pt>
                <c:pt idx="24">
                  <c:v>0.96267565820044498</c:v>
                </c:pt>
                <c:pt idx="25">
                  <c:v>0.8</c:v>
                </c:pt>
                <c:pt idx="26">
                  <c:v>4.4994172565415158E-2</c:v>
                </c:pt>
                <c:pt idx="27">
                  <c:v>1.2328472908844978E-2</c:v>
                </c:pt>
                <c:pt idx="28">
                  <c:v>1.3910388768409998E-3</c:v>
                </c:pt>
                <c:pt idx="29">
                  <c:v>1.3910388768409998E-3</c:v>
                </c:pt>
                <c:pt idx="30">
                  <c:v>1.3910388768409998E-3</c:v>
                </c:pt>
                <c:pt idx="31">
                  <c:v>1.3910388768409998E-3</c:v>
                </c:pt>
                <c:pt idx="32">
                  <c:v>1.3910388768409998E-3</c:v>
                </c:pt>
                <c:pt idx="33">
                  <c:v>1.3910388768409998E-3</c:v>
                </c:pt>
                <c:pt idx="34">
                  <c:v>1.2328472908844978E-2</c:v>
                </c:pt>
                <c:pt idx="35">
                  <c:v>4.4994172565415158E-2</c:v>
                </c:pt>
                <c:pt idx="36">
                  <c:v>0.8</c:v>
                </c:pt>
                <c:pt idx="37">
                  <c:v>0.96267565820044498</c:v>
                </c:pt>
                <c:pt idx="38">
                  <c:v>0.99761294257280397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8EB-4718-B298-06E58EFCD6E1}"/>
            </c:ext>
          </c:extLst>
        </c:ser>
        <c:ser>
          <c:idx val="4"/>
          <c:order val="4"/>
          <c:tx>
            <c:strRef>
              <c:f>'CALCULATION PAGE'!$E$31</c:f>
              <c:strCache>
                <c:ptCount val="1"/>
                <c:pt idx="0">
                  <c:v>VIL,max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'CALCULATION PAGE'!$F$31:$F$32</c:f>
              <c:numCache>
                <c:formatCode>General</c:formatCode>
                <c:ptCount val="2"/>
                <c:pt idx="0">
                  <c:v>0.38245553203367588</c:v>
                </c:pt>
                <c:pt idx="1">
                  <c:v>0.38245553203367588</c:v>
                </c:pt>
              </c:numCache>
            </c:numRef>
          </c:xVal>
          <c:yVal>
            <c:numRef>
              <c:f>'CALCULATION PAGE'!$G$31:$G$32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8EB-4718-B298-06E58EFCD6E1}"/>
            </c:ext>
          </c:extLst>
        </c:ser>
        <c:ser>
          <c:idx val="7"/>
          <c:order val="5"/>
          <c:tx>
            <c:strRef>
              <c:f>'CALCULATION PAGE'!$E$33</c:f>
              <c:strCache>
                <c:ptCount val="1"/>
                <c:pt idx="0">
                  <c:v>VIH,min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'CALCULATION PAGE'!$F$33:$F$34</c:f>
              <c:numCache>
                <c:formatCode>General</c:formatCode>
                <c:ptCount val="2"/>
                <c:pt idx="0">
                  <c:v>0.5059289460184544</c:v>
                </c:pt>
                <c:pt idx="1">
                  <c:v>0.5059289460184544</c:v>
                </c:pt>
              </c:numCache>
            </c:numRef>
          </c:xVal>
          <c:yVal>
            <c:numRef>
              <c:f>'CALCULATION PAGE'!$G$33:$G$34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58EB-4718-B298-06E58EFCD6E1}"/>
            </c:ext>
          </c:extLst>
        </c:ser>
        <c:ser>
          <c:idx val="8"/>
          <c:order val="6"/>
          <c:tx>
            <c:strRef>
              <c:f>'CALCULATION PAGE'!$E$35</c:f>
              <c:strCache>
                <c:ptCount val="1"/>
                <c:pt idx="0">
                  <c:v>VIL,max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'CALCULATION PAGE'!$F$35:$F$36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'CALCULATION PAGE'!$G$35:$G$36</c:f>
              <c:numCache>
                <c:formatCode>General</c:formatCode>
                <c:ptCount val="2"/>
                <c:pt idx="0">
                  <c:v>0.94868329805051377</c:v>
                </c:pt>
                <c:pt idx="1">
                  <c:v>0.94868329805051377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58EB-4718-B298-06E58EFCD6E1}"/>
            </c:ext>
          </c:extLst>
        </c:ser>
        <c:ser>
          <c:idx val="9"/>
          <c:order val="7"/>
          <c:tx>
            <c:strRef>
              <c:f>'CALCULATION PAGE'!$E$37</c:f>
              <c:strCache>
                <c:ptCount val="1"/>
                <c:pt idx="0">
                  <c:v>VIH,min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'CALCULATION PAGE'!$F$37:$F$38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'CALCULATION PAGE'!$G$37:$G$38</c:f>
              <c:numCache>
                <c:formatCode>General</c:formatCode>
                <c:ptCount val="2"/>
                <c:pt idx="0">
                  <c:v>6.6946709513840907E-2</c:v>
                </c:pt>
                <c:pt idx="1">
                  <c:v>6.6946709513840907E-2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58EB-4718-B298-06E58EFCD6E1}"/>
            </c:ext>
          </c:extLst>
        </c:ser>
        <c:ser>
          <c:idx val="1"/>
          <c:order val="8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'CALCULATION PAGE'!$G$26:$G$27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'CALCULATION PAGE'!$I$26:$I$27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58EB-4718-B298-06E58EFCD6E1}"/>
            </c:ext>
          </c:extLst>
        </c:ser>
        <c:ser>
          <c:idx val="2"/>
          <c:order val="9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'CALCULATION PAGE'!$H$26:$H$27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'CALCULATION PAGE'!$I$26:$I$27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58EB-4718-B298-06E58EFCD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48672"/>
        <c:axId val="270549232"/>
      </c:scatterChart>
      <c:scatterChart>
        <c:scatterStyle val="lineMarker"/>
        <c:varyColors val="0"/>
        <c:ser>
          <c:idx val="6"/>
          <c:order val="1"/>
          <c:tx>
            <c:v>NOISE MARGINS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'CALCULATION PAGE'!$A$34:$A$35</c:f>
              <c:numCache>
                <c:formatCode>General</c:formatCode>
                <c:ptCount val="2"/>
                <c:pt idx="0">
                  <c:v>0.38245553203367588</c:v>
                </c:pt>
                <c:pt idx="1">
                  <c:v>0.5059289460184544</c:v>
                </c:pt>
              </c:numCache>
            </c:numRef>
          </c:xVal>
          <c:yVal>
            <c:numRef>
              <c:f>'CALCULATION PAGE'!$B$34:$B$35</c:f>
              <c:numCache>
                <c:formatCode>General</c:formatCode>
                <c:ptCount val="2"/>
                <c:pt idx="0">
                  <c:v>0.94868329805051377</c:v>
                </c:pt>
                <c:pt idx="1">
                  <c:v>6.6946709513840907E-2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CDC-4084-88AC-ED9996AC7310}"/>
            </c:ext>
          </c:extLst>
        </c:ser>
        <c:ser>
          <c:idx val="10"/>
          <c:order val="10"/>
          <c:tx>
            <c:strRef>
              <c:f>'CALCULATION PAGE'!$Q$1</c:f>
              <c:strCache>
                <c:ptCount val="1"/>
                <c:pt idx="0">
                  <c:v>OUTPUT SIGNAL 2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'CALCULATION PAGE'!$M$2:$M$42</c:f>
              <c:numCache>
                <c:formatCode>General</c:formatCode>
                <c:ptCount val="41"/>
                <c:pt idx="0">
                  <c:v>2</c:v>
                </c:pt>
                <c:pt idx="1">
                  <c:v>2.0249999999999999</c:v>
                </c:pt>
                <c:pt idx="2">
                  <c:v>2.0499999999999998</c:v>
                </c:pt>
                <c:pt idx="3">
                  <c:v>2.0750000000000002</c:v>
                </c:pt>
                <c:pt idx="4">
                  <c:v>2.1</c:v>
                </c:pt>
                <c:pt idx="5">
                  <c:v>2.125</c:v>
                </c:pt>
                <c:pt idx="6">
                  <c:v>2.15</c:v>
                </c:pt>
                <c:pt idx="7">
                  <c:v>2.1749999999999998</c:v>
                </c:pt>
                <c:pt idx="8">
                  <c:v>2.2000000000000002</c:v>
                </c:pt>
                <c:pt idx="9">
                  <c:v>2.2250000000000001</c:v>
                </c:pt>
                <c:pt idx="10">
                  <c:v>2.25</c:v>
                </c:pt>
                <c:pt idx="11">
                  <c:v>2.2749999999999999</c:v>
                </c:pt>
                <c:pt idx="12">
                  <c:v>2.2999999999999998</c:v>
                </c:pt>
                <c:pt idx="13">
                  <c:v>2.3250000000000002</c:v>
                </c:pt>
                <c:pt idx="14">
                  <c:v>2.35</c:v>
                </c:pt>
                <c:pt idx="15">
                  <c:v>2.375</c:v>
                </c:pt>
                <c:pt idx="16">
                  <c:v>2.4</c:v>
                </c:pt>
                <c:pt idx="17">
                  <c:v>2.4249999999999998</c:v>
                </c:pt>
                <c:pt idx="18">
                  <c:v>2.4500000000000002</c:v>
                </c:pt>
                <c:pt idx="19">
                  <c:v>2.4750000000000001</c:v>
                </c:pt>
                <c:pt idx="20">
                  <c:v>2.5</c:v>
                </c:pt>
                <c:pt idx="21">
                  <c:v>2.5249999999999999</c:v>
                </c:pt>
                <c:pt idx="22">
                  <c:v>2.5499999999999998</c:v>
                </c:pt>
                <c:pt idx="23">
                  <c:v>2.5750000000000002</c:v>
                </c:pt>
                <c:pt idx="24">
                  <c:v>2.6</c:v>
                </c:pt>
                <c:pt idx="25">
                  <c:v>2.625</c:v>
                </c:pt>
                <c:pt idx="26">
                  <c:v>2.65</c:v>
                </c:pt>
                <c:pt idx="27">
                  <c:v>2.6749999999999998</c:v>
                </c:pt>
                <c:pt idx="28">
                  <c:v>2.7</c:v>
                </c:pt>
                <c:pt idx="29">
                  <c:v>2.7250000000000001</c:v>
                </c:pt>
                <c:pt idx="30">
                  <c:v>2.75</c:v>
                </c:pt>
                <c:pt idx="31">
                  <c:v>2.7749999999999999</c:v>
                </c:pt>
                <c:pt idx="32">
                  <c:v>2.8</c:v>
                </c:pt>
                <c:pt idx="33">
                  <c:v>2.8250000000000002</c:v>
                </c:pt>
                <c:pt idx="34">
                  <c:v>2.85</c:v>
                </c:pt>
                <c:pt idx="35">
                  <c:v>2.875</c:v>
                </c:pt>
                <c:pt idx="36">
                  <c:v>2.9</c:v>
                </c:pt>
                <c:pt idx="37">
                  <c:v>2.9249999999999998</c:v>
                </c:pt>
                <c:pt idx="38">
                  <c:v>2.95</c:v>
                </c:pt>
                <c:pt idx="39">
                  <c:v>2.9750000000000001</c:v>
                </c:pt>
                <c:pt idx="40">
                  <c:v>3</c:v>
                </c:pt>
              </c:numCache>
            </c:numRef>
          </c:xVal>
          <c:yVal>
            <c:numRef>
              <c:f>'CALCULATION PAGE'!$Q$2:$Q$42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58EB-4718-B298-06E58EFCD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48672"/>
        <c:axId val="270549232"/>
      </c:scatterChart>
      <c:valAx>
        <c:axId val="270548672"/>
        <c:scaling>
          <c:orientation val="minMax"/>
          <c:max val="3"/>
          <c:min val="0"/>
        </c:scaling>
        <c:delete val="0"/>
        <c:axPos val="b"/>
        <c:title>
          <c:tx>
            <c:rich>
              <a:bodyPr/>
              <a:lstStyle/>
              <a:p>
                <a:pPr algn="l">
                  <a:defRPr sz="1600"/>
                </a:pPr>
                <a:r>
                  <a:rPr lang="en-US" sz="1600"/>
                  <a:t>VIN [V]                                                                                      TIME AXES</a:t>
                </a:r>
              </a:p>
            </c:rich>
          </c:tx>
          <c:layout>
            <c:manualLayout>
              <c:xMode val="edge"/>
              <c:yMode val="edge"/>
              <c:x val="0.27470661246576872"/>
              <c:y val="0.92218863946354535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0549232"/>
        <c:crosses val="autoZero"/>
        <c:crossBetween val="midCat"/>
      </c:valAx>
      <c:valAx>
        <c:axId val="27054923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VOUT [V]</a:t>
                </a:r>
              </a:p>
            </c:rich>
          </c:tx>
          <c:layout>
            <c:manualLayout>
              <c:xMode val="edge"/>
              <c:yMode val="edge"/>
              <c:x val="1.2025932655853916E-2"/>
              <c:y val="0.3510709406894730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0548672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86724739265746"/>
          <c:y val="0.10665527447366951"/>
          <c:w val="0.8352243737259506"/>
          <c:h val="0.783562182386776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'CALCULATION PAGE'!$B$1</c:f>
              <c:strCache>
                <c:ptCount val="1"/>
                <c:pt idx="0">
                  <c:v>n-channel</c:v>
                </c:pt>
              </c:strCache>
            </c:strRef>
          </c:tx>
          <c:marker>
            <c:symbol val="none"/>
          </c:marker>
          <c:xVal>
            <c:numRef>
              <c:f>'CALCULATION PAGE'!$A$2:$A$22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xVal>
          <c:yVal>
            <c:numRef>
              <c:f>'CALCULATION PAGE'!$B$2:$B$22</c:f>
              <c:numCache>
                <c:formatCode>0.0</c:formatCode>
                <c:ptCount val="21"/>
                <c:pt idx="0">
                  <c:v>0</c:v>
                </c:pt>
                <c:pt idx="1">
                  <c:v>9.52</c:v>
                </c:pt>
                <c:pt idx="2">
                  <c:v>18.040000000000003</c:v>
                </c:pt>
                <c:pt idx="3">
                  <c:v>25.560000000000006</c:v>
                </c:pt>
                <c:pt idx="4">
                  <c:v>32.080000000000005</c:v>
                </c:pt>
                <c:pt idx="5">
                  <c:v>37.6</c:v>
                </c:pt>
                <c:pt idx="6">
                  <c:v>42.11999999999999</c:v>
                </c:pt>
                <c:pt idx="7">
                  <c:v>45.64</c:v>
                </c:pt>
                <c:pt idx="8">
                  <c:v>48.160000000000004</c:v>
                </c:pt>
                <c:pt idx="9">
                  <c:v>49.68</c:v>
                </c:pt>
                <c:pt idx="10">
                  <c:v>50.199999999999996</c:v>
                </c:pt>
                <c:pt idx="11">
                  <c:v>50.200199999999995</c:v>
                </c:pt>
                <c:pt idx="12">
                  <c:v>50.200199999999995</c:v>
                </c:pt>
                <c:pt idx="13">
                  <c:v>50.200199999999995</c:v>
                </c:pt>
                <c:pt idx="14">
                  <c:v>50.200199999999995</c:v>
                </c:pt>
                <c:pt idx="15">
                  <c:v>50.200199999999995</c:v>
                </c:pt>
                <c:pt idx="16">
                  <c:v>50.200199999999995</c:v>
                </c:pt>
                <c:pt idx="17">
                  <c:v>50.200199999999995</c:v>
                </c:pt>
                <c:pt idx="18">
                  <c:v>50.200199999999995</c:v>
                </c:pt>
                <c:pt idx="19">
                  <c:v>50.200199999999995</c:v>
                </c:pt>
                <c:pt idx="20">
                  <c:v>50.200199999999995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6B1-4FAE-8DFD-AF9D0EE5B9AD}"/>
            </c:ext>
          </c:extLst>
        </c:ser>
        <c:ser>
          <c:idx val="1"/>
          <c:order val="1"/>
          <c:tx>
            <c:strRef>
              <c:f>'CALCULATION PAGE'!$C$1</c:f>
              <c:strCache>
                <c:ptCount val="1"/>
                <c:pt idx="0">
                  <c:v>p-channel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'CALCULATION PAGE'!$A$2:$A$22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xVal>
          <c:yVal>
            <c:numRef>
              <c:f>'CALCULATION PAGE'!$C$2:$C$22</c:f>
              <c:numCache>
                <c:formatCode>0.0</c:formatCode>
                <c:ptCount val="21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6B1-4FAE-8DFD-AF9D0EE5B9AD}"/>
            </c:ext>
          </c:extLst>
        </c:ser>
        <c:ser>
          <c:idx val="2"/>
          <c:order val="2"/>
          <c:tx>
            <c:strRef>
              <c:f>'CALCULATION PAGE'!$I$10</c:f>
              <c:strCache>
                <c:ptCount val="1"/>
                <c:pt idx="0">
                  <c:v>bias point(s)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</c:spPr>
          </c:marker>
          <c:xVal>
            <c:numRef>
              <c:f>'CALCULATION PAGE'!$I$7:$I$9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'CALCULATION PAGE'!$J$7:$J$9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6B1-4FAE-8DFD-AF9D0EE5B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006400"/>
        <c:axId val="231006960"/>
      </c:scatterChart>
      <c:valAx>
        <c:axId val="231006400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VOUT [V]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v-SE"/>
          </a:p>
        </c:txPr>
        <c:crossAx val="231006960"/>
        <c:crosses val="autoZero"/>
        <c:crossBetween val="midCat"/>
      </c:valAx>
      <c:valAx>
        <c:axId val="231006960"/>
        <c:scaling>
          <c:orientation val="minMax"/>
          <c:max val="12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IDD [V]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v-SE"/>
          </a:p>
        </c:txPr>
        <c:crossAx val="231006400"/>
        <c:crosses val="autoZero"/>
        <c:crossBetween val="midCat"/>
        <c:majorUnit val="2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3683546663213265"/>
          <c:y val="2.8457698106885577E-2"/>
          <c:w val="0.5912607485247563"/>
          <c:h val="7.563053554475902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VTC                                                                    VOUT-1                                                          VOUT-2</a:t>
            </a:r>
          </a:p>
        </c:rich>
      </c:tx>
      <c:layout>
        <c:manualLayout>
          <c:xMode val="edge"/>
          <c:yMode val="edge"/>
          <c:x val="0.16954217621193074"/>
          <c:y val="4.2769924461105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188715880906873E-2"/>
          <c:y val="0.1033980822091282"/>
          <c:w val="0.89712065391325668"/>
          <c:h val="0.769487980751324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'CALCULATION PAGE'!$E$1</c:f>
              <c:strCache>
                <c:ptCount val="1"/>
                <c:pt idx="0">
                  <c:v>VOUT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PAGE'!$E$2:$E$20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0.99743325873106148</c:v>
                </c:pt>
                <c:pt idx="4">
                  <c:v>0.98879563597877096</c:v>
                </c:pt>
                <c:pt idx="5">
                  <c:v>0.971959830145249</c:v>
                </c:pt>
                <c:pt idx="6">
                  <c:v>0.94280904158206336</c:v>
                </c:pt>
                <c:pt idx="7">
                  <c:v>0.89081835486727923</c:v>
                </c:pt>
                <c:pt idx="8">
                  <c:v>0.70710678118654746</c:v>
                </c:pt>
                <c:pt idx="9">
                  <c:v>0.45710678118654752</c:v>
                </c:pt>
                <c:pt idx="10">
                  <c:v>0.20710678118654752</c:v>
                </c:pt>
                <c:pt idx="11">
                  <c:v>6.6953338283713193E-2</c:v>
                </c:pt>
                <c:pt idx="12">
                  <c:v>3.3073526450774604E-2</c:v>
                </c:pt>
                <c:pt idx="13">
                  <c:v>1.5505028229784557E-2</c:v>
                </c:pt>
                <c:pt idx="14">
                  <c:v>5.9665553946088301E-3</c:v>
                </c:pt>
                <c:pt idx="15">
                  <c:v>1.3223270587438551E-3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DC-4084-88AC-ED9996AC7310}"/>
            </c:ext>
          </c:extLst>
        </c:ser>
        <c:ser>
          <c:idx val="5"/>
          <c:order val="2"/>
          <c:tx>
            <c:strRef>
              <c:f>'CALCULATION PAGE'!$O$1</c:f>
              <c:strCache>
                <c:ptCount val="1"/>
                <c:pt idx="0">
                  <c:v>INPUT signal</c:v>
                </c:pt>
              </c:strCache>
            </c:strRef>
          </c:tx>
          <c:marker>
            <c:symbol val="none"/>
          </c:marker>
          <c:xVal>
            <c:numRef>
              <c:f>'CALCULATION PAGE'!$O$2:$O$42</c:f>
              <c:numCache>
                <c:formatCode>General</c:formatCode>
                <c:ptCount val="41"/>
                <c:pt idx="0">
                  <c:v>0.2</c:v>
                </c:pt>
                <c:pt idx="1">
                  <c:v>0.28333333333333333</c:v>
                </c:pt>
                <c:pt idx="2">
                  <c:v>0.3666666666666667</c:v>
                </c:pt>
                <c:pt idx="3">
                  <c:v>0.45</c:v>
                </c:pt>
                <c:pt idx="4">
                  <c:v>0.53333333333333333</c:v>
                </c:pt>
                <c:pt idx="5">
                  <c:v>0.6166666666666667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0.6166666666666667</c:v>
                </c:pt>
                <c:pt idx="13">
                  <c:v>0.53333333333333333</c:v>
                </c:pt>
                <c:pt idx="14">
                  <c:v>0.45</c:v>
                </c:pt>
                <c:pt idx="15">
                  <c:v>0.3666666666666667</c:v>
                </c:pt>
                <c:pt idx="16">
                  <c:v>0.28333333333333333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0.28333333333333333</c:v>
                </c:pt>
                <c:pt idx="24">
                  <c:v>0.3666666666666667</c:v>
                </c:pt>
                <c:pt idx="25">
                  <c:v>0.45</c:v>
                </c:pt>
                <c:pt idx="26">
                  <c:v>0.53333333333333333</c:v>
                </c:pt>
                <c:pt idx="27">
                  <c:v>0.6166666666666667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0.7</c:v>
                </c:pt>
                <c:pt idx="32">
                  <c:v>0.7</c:v>
                </c:pt>
                <c:pt idx="33">
                  <c:v>0.7</c:v>
                </c:pt>
                <c:pt idx="34">
                  <c:v>0.6166666666666667</c:v>
                </c:pt>
                <c:pt idx="35">
                  <c:v>0.53333333333333333</c:v>
                </c:pt>
                <c:pt idx="36">
                  <c:v>0.45</c:v>
                </c:pt>
                <c:pt idx="37">
                  <c:v>0.3666666666666667</c:v>
                </c:pt>
                <c:pt idx="38">
                  <c:v>0.28333333333333333</c:v>
                </c:pt>
                <c:pt idx="39">
                  <c:v>0.2</c:v>
                </c:pt>
                <c:pt idx="40">
                  <c:v>0.2</c:v>
                </c:pt>
              </c:numCache>
            </c:numRef>
          </c:xVal>
          <c:yVal>
            <c:numRef>
              <c:f>'CALCULATION PAGE'!$L$2:$L$42</c:f>
              <c:numCache>
                <c:formatCode>General</c:formatCode>
                <c:ptCount val="4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</c:v>
                </c:pt>
                <c:pt idx="15">
                  <c:v>0.375</c:v>
                </c:pt>
                <c:pt idx="16">
                  <c:v>0.4</c:v>
                </c:pt>
                <c:pt idx="17">
                  <c:v>0.42499999999999999</c:v>
                </c:pt>
                <c:pt idx="18">
                  <c:v>0.45</c:v>
                </c:pt>
                <c:pt idx="19">
                  <c:v>0.47499999999999998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0.57499999999999996</c:v>
                </c:pt>
                <c:pt idx="24">
                  <c:v>0.6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</c:v>
                </c:pt>
                <c:pt idx="29">
                  <c:v>0.72499999999999998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0.82499999999999996</c:v>
                </c:pt>
                <c:pt idx="34">
                  <c:v>0.85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</c:v>
                </c:pt>
                <c:pt idx="39">
                  <c:v>0.97499999999999998</c:v>
                </c:pt>
                <c:pt idx="4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6F4-4E4B-B865-966893204186}"/>
            </c:ext>
          </c:extLst>
        </c:ser>
        <c:ser>
          <c:idx val="3"/>
          <c:order val="3"/>
          <c:tx>
            <c:strRef>
              <c:f>'CALCULATION PAGE'!$P$1</c:f>
              <c:strCache>
                <c:ptCount val="1"/>
                <c:pt idx="0">
                  <c:v>OUTPUT SIGNAL 1</c:v>
                </c:pt>
              </c:strCache>
            </c:strRef>
          </c:tx>
          <c:marker>
            <c:symbol val="none"/>
          </c:marker>
          <c:xVal>
            <c:numRef>
              <c:f>'CALCULATION PAGE'!$K$2:$K$42</c:f>
              <c:numCache>
                <c:formatCode>General</c:formatCode>
                <c:ptCount val="41"/>
                <c:pt idx="0">
                  <c:v>1</c:v>
                </c:pt>
                <c:pt idx="1">
                  <c:v>1.0249999999999999</c:v>
                </c:pt>
                <c:pt idx="2">
                  <c:v>1.05</c:v>
                </c:pt>
                <c:pt idx="3">
                  <c:v>1.075</c:v>
                </c:pt>
                <c:pt idx="4">
                  <c:v>1.1000000000000001</c:v>
                </c:pt>
                <c:pt idx="5">
                  <c:v>1.125</c:v>
                </c:pt>
                <c:pt idx="6">
                  <c:v>1.1499999999999999</c:v>
                </c:pt>
                <c:pt idx="7">
                  <c:v>1.175</c:v>
                </c:pt>
                <c:pt idx="8">
                  <c:v>1.2</c:v>
                </c:pt>
                <c:pt idx="9">
                  <c:v>1.2250000000000001</c:v>
                </c:pt>
                <c:pt idx="10">
                  <c:v>1.25</c:v>
                </c:pt>
                <c:pt idx="11">
                  <c:v>1.2749999999999999</c:v>
                </c:pt>
                <c:pt idx="12">
                  <c:v>1.3</c:v>
                </c:pt>
                <c:pt idx="13">
                  <c:v>1.325</c:v>
                </c:pt>
                <c:pt idx="14">
                  <c:v>1.35</c:v>
                </c:pt>
                <c:pt idx="15">
                  <c:v>1.375</c:v>
                </c:pt>
                <c:pt idx="16">
                  <c:v>1.4</c:v>
                </c:pt>
                <c:pt idx="17">
                  <c:v>1.425</c:v>
                </c:pt>
                <c:pt idx="18">
                  <c:v>1.45</c:v>
                </c:pt>
                <c:pt idx="19">
                  <c:v>1.4750000000000001</c:v>
                </c:pt>
                <c:pt idx="20">
                  <c:v>1.5</c:v>
                </c:pt>
                <c:pt idx="21">
                  <c:v>1.5249999999999999</c:v>
                </c:pt>
                <c:pt idx="22">
                  <c:v>1.55</c:v>
                </c:pt>
                <c:pt idx="23">
                  <c:v>1.575</c:v>
                </c:pt>
                <c:pt idx="24">
                  <c:v>1.6</c:v>
                </c:pt>
                <c:pt idx="25">
                  <c:v>1.625</c:v>
                </c:pt>
                <c:pt idx="26">
                  <c:v>1.65</c:v>
                </c:pt>
                <c:pt idx="27">
                  <c:v>1.675</c:v>
                </c:pt>
                <c:pt idx="28">
                  <c:v>1.7</c:v>
                </c:pt>
                <c:pt idx="29">
                  <c:v>1.7250000000000001</c:v>
                </c:pt>
                <c:pt idx="30">
                  <c:v>1.75</c:v>
                </c:pt>
                <c:pt idx="31">
                  <c:v>1.7749999999999999</c:v>
                </c:pt>
                <c:pt idx="32">
                  <c:v>1.8</c:v>
                </c:pt>
                <c:pt idx="33">
                  <c:v>1.825</c:v>
                </c:pt>
                <c:pt idx="34">
                  <c:v>1.85</c:v>
                </c:pt>
                <c:pt idx="35">
                  <c:v>1.875</c:v>
                </c:pt>
                <c:pt idx="36">
                  <c:v>1.9</c:v>
                </c:pt>
                <c:pt idx="37">
                  <c:v>1.925</c:v>
                </c:pt>
                <c:pt idx="38">
                  <c:v>1.95</c:v>
                </c:pt>
                <c:pt idx="39">
                  <c:v>1.9750000000000001</c:v>
                </c:pt>
                <c:pt idx="40">
                  <c:v>2</c:v>
                </c:pt>
              </c:numCache>
            </c:numRef>
          </c:xVal>
          <c:yVal>
            <c:numRef>
              <c:f>'CALCULATION PAGE'!$P$2:$P$42</c:f>
              <c:numCache>
                <c:formatCode>General</c:formatCode>
                <c:ptCount val="41"/>
                <c:pt idx="0">
                  <c:v>1</c:v>
                </c:pt>
                <c:pt idx="1">
                  <c:v>0.99761294257280397</c:v>
                </c:pt>
                <c:pt idx="2">
                  <c:v>0.96267565820044498</c:v>
                </c:pt>
                <c:pt idx="3">
                  <c:v>0.8</c:v>
                </c:pt>
                <c:pt idx="4">
                  <c:v>4.4994172565415158E-2</c:v>
                </c:pt>
                <c:pt idx="5">
                  <c:v>1.2328472908844978E-2</c:v>
                </c:pt>
                <c:pt idx="6">
                  <c:v>1.3910388768409998E-3</c:v>
                </c:pt>
                <c:pt idx="7">
                  <c:v>1.3910388768409998E-3</c:v>
                </c:pt>
                <c:pt idx="8">
                  <c:v>1.3910388768409998E-3</c:v>
                </c:pt>
                <c:pt idx="9">
                  <c:v>1.3910388768409998E-3</c:v>
                </c:pt>
                <c:pt idx="10">
                  <c:v>1.3910388768409998E-3</c:v>
                </c:pt>
                <c:pt idx="11">
                  <c:v>1.3910388768409998E-3</c:v>
                </c:pt>
                <c:pt idx="12">
                  <c:v>1.2328472908844978E-2</c:v>
                </c:pt>
                <c:pt idx="13">
                  <c:v>4.4994172565415158E-2</c:v>
                </c:pt>
                <c:pt idx="14">
                  <c:v>0.8</c:v>
                </c:pt>
                <c:pt idx="15">
                  <c:v>0.96267565820044498</c:v>
                </c:pt>
                <c:pt idx="16">
                  <c:v>0.99761294257280397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0.99761294257280397</c:v>
                </c:pt>
                <c:pt idx="24">
                  <c:v>0.96267565820044498</c:v>
                </c:pt>
                <c:pt idx="25">
                  <c:v>0.8</c:v>
                </c:pt>
                <c:pt idx="26">
                  <c:v>4.4994172565415158E-2</c:v>
                </c:pt>
                <c:pt idx="27">
                  <c:v>1.2328472908844978E-2</c:v>
                </c:pt>
                <c:pt idx="28">
                  <c:v>1.3910388768409998E-3</c:v>
                </c:pt>
                <c:pt idx="29">
                  <c:v>1.3910388768409998E-3</c:v>
                </c:pt>
                <c:pt idx="30">
                  <c:v>1.3910388768409998E-3</c:v>
                </c:pt>
                <c:pt idx="31">
                  <c:v>1.3910388768409998E-3</c:v>
                </c:pt>
                <c:pt idx="32">
                  <c:v>1.3910388768409998E-3</c:v>
                </c:pt>
                <c:pt idx="33">
                  <c:v>1.3910388768409998E-3</c:v>
                </c:pt>
                <c:pt idx="34">
                  <c:v>1.2328472908844978E-2</c:v>
                </c:pt>
                <c:pt idx="35">
                  <c:v>4.4994172565415158E-2</c:v>
                </c:pt>
                <c:pt idx="36">
                  <c:v>0.8</c:v>
                </c:pt>
                <c:pt idx="37">
                  <c:v>0.96267565820044498</c:v>
                </c:pt>
                <c:pt idx="38">
                  <c:v>0.99761294257280397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6F4-4E4B-B865-966893204186}"/>
            </c:ext>
          </c:extLst>
        </c:ser>
        <c:ser>
          <c:idx val="4"/>
          <c:order val="4"/>
          <c:tx>
            <c:strRef>
              <c:f>'CALCULATION PAGE'!$E$31</c:f>
              <c:strCache>
                <c:ptCount val="1"/>
                <c:pt idx="0">
                  <c:v>VIL,max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'CALCULATION PAGE'!$F$31:$F$32</c:f>
              <c:numCache>
                <c:formatCode>General</c:formatCode>
                <c:ptCount val="2"/>
                <c:pt idx="0">
                  <c:v>0.38245553203367588</c:v>
                </c:pt>
                <c:pt idx="1">
                  <c:v>0.38245553203367588</c:v>
                </c:pt>
              </c:numCache>
            </c:numRef>
          </c:xVal>
          <c:yVal>
            <c:numRef>
              <c:f>'CALCULATION PAGE'!$G$31:$G$32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6F4-4E4B-B865-966893204186}"/>
            </c:ext>
          </c:extLst>
        </c:ser>
        <c:ser>
          <c:idx val="7"/>
          <c:order val="5"/>
          <c:tx>
            <c:strRef>
              <c:f>'CALCULATION PAGE'!$E$33</c:f>
              <c:strCache>
                <c:ptCount val="1"/>
                <c:pt idx="0">
                  <c:v>VIH,min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'CALCULATION PAGE'!$F$33:$F$34</c:f>
              <c:numCache>
                <c:formatCode>General</c:formatCode>
                <c:ptCount val="2"/>
                <c:pt idx="0">
                  <c:v>0.5059289460184544</c:v>
                </c:pt>
                <c:pt idx="1">
                  <c:v>0.5059289460184544</c:v>
                </c:pt>
              </c:numCache>
            </c:numRef>
          </c:xVal>
          <c:yVal>
            <c:numRef>
              <c:f>'CALCULATION PAGE'!$G$33:$G$34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76F4-4E4B-B865-966893204186}"/>
            </c:ext>
          </c:extLst>
        </c:ser>
        <c:ser>
          <c:idx val="8"/>
          <c:order val="6"/>
          <c:tx>
            <c:strRef>
              <c:f>'CALCULATION PAGE'!$E$35</c:f>
              <c:strCache>
                <c:ptCount val="1"/>
                <c:pt idx="0">
                  <c:v>VIL,max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'CALCULATION PAGE'!$F$35:$F$36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'CALCULATION PAGE'!$G$35:$G$36</c:f>
              <c:numCache>
                <c:formatCode>General</c:formatCode>
                <c:ptCount val="2"/>
                <c:pt idx="0">
                  <c:v>0.94868329805051377</c:v>
                </c:pt>
                <c:pt idx="1">
                  <c:v>0.94868329805051377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76F4-4E4B-B865-966893204186}"/>
            </c:ext>
          </c:extLst>
        </c:ser>
        <c:ser>
          <c:idx val="9"/>
          <c:order val="7"/>
          <c:tx>
            <c:strRef>
              <c:f>'CALCULATION PAGE'!$E$37</c:f>
              <c:strCache>
                <c:ptCount val="1"/>
                <c:pt idx="0">
                  <c:v>VIH,min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'CALCULATION PAGE'!$F$37:$F$38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'CALCULATION PAGE'!$G$37:$G$38</c:f>
              <c:numCache>
                <c:formatCode>General</c:formatCode>
                <c:ptCount val="2"/>
                <c:pt idx="0">
                  <c:v>6.6946709513840907E-2</c:v>
                </c:pt>
                <c:pt idx="1">
                  <c:v>6.6946709513840907E-2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76F4-4E4B-B865-966893204186}"/>
            </c:ext>
          </c:extLst>
        </c:ser>
        <c:ser>
          <c:idx val="1"/>
          <c:order val="8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'CALCULATION PAGE'!$G$26:$G$27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'CALCULATION PAGE'!$I$26:$I$27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76F4-4E4B-B865-966893204186}"/>
            </c:ext>
          </c:extLst>
        </c:ser>
        <c:ser>
          <c:idx val="2"/>
          <c:order val="9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'CALCULATION PAGE'!$H$26:$H$27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'CALCULATION PAGE'!$I$26:$I$27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76F4-4E4B-B865-966893204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686144"/>
        <c:axId val="230686704"/>
      </c:scatterChart>
      <c:scatterChart>
        <c:scatterStyle val="lineMarker"/>
        <c:varyColors val="0"/>
        <c:ser>
          <c:idx val="6"/>
          <c:order val="1"/>
          <c:tx>
            <c:v>NOISE MARGINS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'CALCULATION PAGE'!$A$34:$A$35</c:f>
              <c:numCache>
                <c:formatCode>General</c:formatCode>
                <c:ptCount val="2"/>
                <c:pt idx="0">
                  <c:v>0.38245553203367588</c:v>
                </c:pt>
                <c:pt idx="1">
                  <c:v>0.5059289460184544</c:v>
                </c:pt>
              </c:numCache>
            </c:numRef>
          </c:xVal>
          <c:yVal>
            <c:numRef>
              <c:f>'CALCULATION PAGE'!$B$34:$B$35</c:f>
              <c:numCache>
                <c:formatCode>General</c:formatCode>
                <c:ptCount val="2"/>
                <c:pt idx="0">
                  <c:v>0.94868329805051377</c:v>
                </c:pt>
                <c:pt idx="1">
                  <c:v>6.6946709513840907E-2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CDC-4084-88AC-ED9996AC7310}"/>
            </c:ext>
          </c:extLst>
        </c:ser>
        <c:ser>
          <c:idx val="10"/>
          <c:order val="10"/>
          <c:tx>
            <c:strRef>
              <c:f>'CALCULATION PAGE'!$Q$1</c:f>
              <c:strCache>
                <c:ptCount val="1"/>
                <c:pt idx="0">
                  <c:v>OUTPUT SIGNAL 2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'CALCULATION PAGE'!$M$2:$M$42</c:f>
              <c:numCache>
                <c:formatCode>General</c:formatCode>
                <c:ptCount val="41"/>
                <c:pt idx="0">
                  <c:v>2</c:v>
                </c:pt>
                <c:pt idx="1">
                  <c:v>2.0249999999999999</c:v>
                </c:pt>
                <c:pt idx="2">
                  <c:v>2.0499999999999998</c:v>
                </c:pt>
                <c:pt idx="3">
                  <c:v>2.0750000000000002</c:v>
                </c:pt>
                <c:pt idx="4">
                  <c:v>2.1</c:v>
                </c:pt>
                <c:pt idx="5">
                  <c:v>2.125</c:v>
                </c:pt>
                <c:pt idx="6">
                  <c:v>2.15</c:v>
                </c:pt>
                <c:pt idx="7">
                  <c:v>2.1749999999999998</c:v>
                </c:pt>
                <c:pt idx="8">
                  <c:v>2.2000000000000002</c:v>
                </c:pt>
                <c:pt idx="9">
                  <c:v>2.2250000000000001</c:v>
                </c:pt>
                <c:pt idx="10">
                  <c:v>2.25</c:v>
                </c:pt>
                <c:pt idx="11">
                  <c:v>2.2749999999999999</c:v>
                </c:pt>
                <c:pt idx="12">
                  <c:v>2.2999999999999998</c:v>
                </c:pt>
                <c:pt idx="13">
                  <c:v>2.3250000000000002</c:v>
                </c:pt>
                <c:pt idx="14">
                  <c:v>2.35</c:v>
                </c:pt>
                <c:pt idx="15">
                  <c:v>2.375</c:v>
                </c:pt>
                <c:pt idx="16">
                  <c:v>2.4</c:v>
                </c:pt>
                <c:pt idx="17">
                  <c:v>2.4249999999999998</c:v>
                </c:pt>
                <c:pt idx="18">
                  <c:v>2.4500000000000002</c:v>
                </c:pt>
                <c:pt idx="19">
                  <c:v>2.4750000000000001</c:v>
                </c:pt>
                <c:pt idx="20">
                  <c:v>2.5</c:v>
                </c:pt>
                <c:pt idx="21">
                  <c:v>2.5249999999999999</c:v>
                </c:pt>
                <c:pt idx="22">
                  <c:v>2.5499999999999998</c:v>
                </c:pt>
                <c:pt idx="23">
                  <c:v>2.5750000000000002</c:v>
                </c:pt>
                <c:pt idx="24">
                  <c:v>2.6</c:v>
                </c:pt>
                <c:pt idx="25">
                  <c:v>2.625</c:v>
                </c:pt>
                <c:pt idx="26">
                  <c:v>2.65</c:v>
                </c:pt>
                <c:pt idx="27">
                  <c:v>2.6749999999999998</c:v>
                </c:pt>
                <c:pt idx="28">
                  <c:v>2.7</c:v>
                </c:pt>
                <c:pt idx="29">
                  <c:v>2.7250000000000001</c:v>
                </c:pt>
                <c:pt idx="30">
                  <c:v>2.75</c:v>
                </c:pt>
                <c:pt idx="31">
                  <c:v>2.7749999999999999</c:v>
                </c:pt>
                <c:pt idx="32">
                  <c:v>2.8</c:v>
                </c:pt>
                <c:pt idx="33">
                  <c:v>2.8250000000000002</c:v>
                </c:pt>
                <c:pt idx="34">
                  <c:v>2.85</c:v>
                </c:pt>
                <c:pt idx="35">
                  <c:v>2.875</c:v>
                </c:pt>
                <c:pt idx="36">
                  <c:v>2.9</c:v>
                </c:pt>
                <c:pt idx="37">
                  <c:v>2.9249999999999998</c:v>
                </c:pt>
                <c:pt idx="38">
                  <c:v>2.95</c:v>
                </c:pt>
                <c:pt idx="39">
                  <c:v>2.9750000000000001</c:v>
                </c:pt>
                <c:pt idx="40">
                  <c:v>3</c:v>
                </c:pt>
              </c:numCache>
            </c:numRef>
          </c:xVal>
          <c:yVal>
            <c:numRef>
              <c:f>'CALCULATION PAGE'!$Q$2:$Q$42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6F4-4E4B-B865-966893204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686144"/>
        <c:axId val="230686704"/>
      </c:scatterChart>
      <c:valAx>
        <c:axId val="230686144"/>
        <c:scaling>
          <c:orientation val="minMax"/>
          <c:max val="3"/>
          <c:min val="0"/>
        </c:scaling>
        <c:delete val="0"/>
        <c:axPos val="b"/>
        <c:title>
          <c:tx>
            <c:rich>
              <a:bodyPr/>
              <a:lstStyle/>
              <a:p>
                <a:pPr algn="l">
                  <a:defRPr sz="1600"/>
                </a:pPr>
                <a:r>
                  <a:rPr lang="en-US" sz="1600"/>
                  <a:t>VIN [V]                                                                                      TIME AXES</a:t>
                </a:r>
              </a:p>
            </c:rich>
          </c:tx>
          <c:layout>
            <c:manualLayout>
              <c:xMode val="edge"/>
              <c:yMode val="edge"/>
              <c:x val="0.27470661246576872"/>
              <c:y val="0.92218863946354535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686704"/>
        <c:crosses val="autoZero"/>
        <c:crossBetween val="midCat"/>
      </c:valAx>
      <c:valAx>
        <c:axId val="23068670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VOUT [V]</a:t>
                </a:r>
              </a:p>
            </c:rich>
          </c:tx>
          <c:layout>
            <c:manualLayout>
              <c:xMode val="edge"/>
              <c:yMode val="edge"/>
              <c:x val="1.2025932655853916E-2"/>
              <c:y val="0.3510709406894730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686144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95713035870516"/>
          <c:y val="2.5321917526905491E-2"/>
          <c:w val="0.85221402587834416"/>
          <c:h val="0.856173252844914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'CALCULATION PAGE'!$O$1</c:f>
              <c:strCache>
                <c:ptCount val="1"/>
                <c:pt idx="0">
                  <c:v>INPUT signal</c:v>
                </c:pt>
              </c:strCache>
            </c:strRef>
          </c:tx>
          <c:marker>
            <c:symbol val="none"/>
          </c:marker>
          <c:xVal>
            <c:numRef>
              <c:f>'CALCULATION PAGE'!$N$2:$N$42</c:f>
              <c:numCache>
                <c:formatCode>General</c:formatCode>
                <c:ptCount val="4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'CALCULATION PAGE'!$O$2:$O$42</c:f>
              <c:numCache>
                <c:formatCode>General</c:formatCode>
                <c:ptCount val="41"/>
                <c:pt idx="0">
                  <c:v>0.2</c:v>
                </c:pt>
                <c:pt idx="1">
                  <c:v>0.28333333333333333</c:v>
                </c:pt>
                <c:pt idx="2">
                  <c:v>0.3666666666666667</c:v>
                </c:pt>
                <c:pt idx="3">
                  <c:v>0.45</c:v>
                </c:pt>
                <c:pt idx="4">
                  <c:v>0.53333333333333333</c:v>
                </c:pt>
                <c:pt idx="5">
                  <c:v>0.6166666666666667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0.6166666666666667</c:v>
                </c:pt>
                <c:pt idx="13">
                  <c:v>0.53333333333333333</c:v>
                </c:pt>
                <c:pt idx="14">
                  <c:v>0.45</c:v>
                </c:pt>
                <c:pt idx="15">
                  <c:v>0.3666666666666667</c:v>
                </c:pt>
                <c:pt idx="16">
                  <c:v>0.28333333333333333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0.28333333333333333</c:v>
                </c:pt>
                <c:pt idx="24">
                  <c:v>0.3666666666666667</c:v>
                </c:pt>
                <c:pt idx="25">
                  <c:v>0.45</c:v>
                </c:pt>
                <c:pt idx="26">
                  <c:v>0.53333333333333333</c:v>
                </c:pt>
                <c:pt idx="27">
                  <c:v>0.6166666666666667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0.7</c:v>
                </c:pt>
                <c:pt idx="32">
                  <c:v>0.7</c:v>
                </c:pt>
                <c:pt idx="33">
                  <c:v>0.7</c:v>
                </c:pt>
                <c:pt idx="34">
                  <c:v>0.6166666666666667</c:v>
                </c:pt>
                <c:pt idx="35">
                  <c:v>0.53333333333333333</c:v>
                </c:pt>
                <c:pt idx="36">
                  <c:v>0.45</c:v>
                </c:pt>
                <c:pt idx="37">
                  <c:v>0.3666666666666667</c:v>
                </c:pt>
                <c:pt idx="38">
                  <c:v>0.28333333333333333</c:v>
                </c:pt>
                <c:pt idx="39">
                  <c:v>0.2</c:v>
                </c:pt>
                <c:pt idx="40">
                  <c:v>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B1-4507-95D1-3849D9523A96}"/>
            </c:ext>
          </c:extLst>
        </c:ser>
        <c:ser>
          <c:idx val="1"/>
          <c:order val="1"/>
          <c:tx>
            <c:strRef>
              <c:f>'CALCULATION PAGE'!$P$1</c:f>
              <c:strCache>
                <c:ptCount val="1"/>
                <c:pt idx="0">
                  <c:v>OUTPUT SIGNAL 1</c:v>
                </c:pt>
              </c:strCache>
            </c:strRef>
          </c:tx>
          <c:marker>
            <c:symbol val="none"/>
          </c:marker>
          <c:xVal>
            <c:numRef>
              <c:f>'CALCULATION PAGE'!$N$2:$N$42</c:f>
              <c:numCache>
                <c:formatCode>General</c:formatCode>
                <c:ptCount val="4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'CALCULATION PAGE'!$P$2:$P$42</c:f>
              <c:numCache>
                <c:formatCode>General</c:formatCode>
                <c:ptCount val="41"/>
                <c:pt idx="0">
                  <c:v>1</c:v>
                </c:pt>
                <c:pt idx="1">
                  <c:v>0.99761294257280397</c:v>
                </c:pt>
                <c:pt idx="2">
                  <c:v>0.96267565820044498</c:v>
                </c:pt>
                <c:pt idx="3">
                  <c:v>0.8</c:v>
                </c:pt>
                <c:pt idx="4">
                  <c:v>4.4994172565415158E-2</c:v>
                </c:pt>
                <c:pt idx="5">
                  <c:v>1.2328472908844978E-2</c:v>
                </c:pt>
                <c:pt idx="6">
                  <c:v>1.3910388768409998E-3</c:v>
                </c:pt>
                <c:pt idx="7">
                  <c:v>1.3910388768409998E-3</c:v>
                </c:pt>
                <c:pt idx="8">
                  <c:v>1.3910388768409998E-3</c:v>
                </c:pt>
                <c:pt idx="9">
                  <c:v>1.3910388768409998E-3</c:v>
                </c:pt>
                <c:pt idx="10">
                  <c:v>1.3910388768409998E-3</c:v>
                </c:pt>
                <c:pt idx="11">
                  <c:v>1.3910388768409998E-3</c:v>
                </c:pt>
                <c:pt idx="12">
                  <c:v>1.2328472908844978E-2</c:v>
                </c:pt>
                <c:pt idx="13">
                  <c:v>4.4994172565415158E-2</c:v>
                </c:pt>
                <c:pt idx="14">
                  <c:v>0.8</c:v>
                </c:pt>
                <c:pt idx="15">
                  <c:v>0.96267565820044498</c:v>
                </c:pt>
                <c:pt idx="16">
                  <c:v>0.99761294257280397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0.99761294257280397</c:v>
                </c:pt>
                <c:pt idx="24">
                  <c:v>0.96267565820044498</c:v>
                </c:pt>
                <c:pt idx="25">
                  <c:v>0.8</c:v>
                </c:pt>
                <c:pt idx="26">
                  <c:v>4.4994172565415158E-2</c:v>
                </c:pt>
                <c:pt idx="27">
                  <c:v>1.2328472908844978E-2</c:v>
                </c:pt>
                <c:pt idx="28">
                  <c:v>1.3910388768409998E-3</c:v>
                </c:pt>
                <c:pt idx="29">
                  <c:v>1.3910388768409998E-3</c:v>
                </c:pt>
                <c:pt idx="30">
                  <c:v>1.3910388768409998E-3</c:v>
                </c:pt>
                <c:pt idx="31">
                  <c:v>1.3910388768409998E-3</c:v>
                </c:pt>
                <c:pt idx="32">
                  <c:v>1.3910388768409998E-3</c:v>
                </c:pt>
                <c:pt idx="33">
                  <c:v>1.3910388768409998E-3</c:v>
                </c:pt>
                <c:pt idx="34">
                  <c:v>1.2328472908844978E-2</c:v>
                </c:pt>
                <c:pt idx="35">
                  <c:v>4.4994172565415158E-2</c:v>
                </c:pt>
                <c:pt idx="36">
                  <c:v>0.8</c:v>
                </c:pt>
                <c:pt idx="37">
                  <c:v>0.96267565820044498</c:v>
                </c:pt>
                <c:pt idx="38">
                  <c:v>0.99761294257280397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1-4507-95D1-3849D9523A96}"/>
            </c:ext>
          </c:extLst>
        </c:ser>
        <c:ser>
          <c:idx val="2"/>
          <c:order val="2"/>
          <c:tx>
            <c:strRef>
              <c:f>'CALCULATION PAGE'!$Q$1</c:f>
              <c:strCache>
                <c:ptCount val="1"/>
                <c:pt idx="0">
                  <c:v>OUTPUT SIGNAL 2</c:v>
                </c:pt>
              </c:strCache>
            </c:strRef>
          </c:tx>
          <c:marker>
            <c:symbol val="none"/>
          </c:marker>
          <c:xVal>
            <c:numRef>
              <c:f>'CALCULATION PAGE'!$N$2:$N$42</c:f>
              <c:numCache>
                <c:formatCode>General</c:formatCode>
                <c:ptCount val="4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'CALCULATION PAGE'!$Q$2:$Q$42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DB1-4507-95D1-3849D9523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55792"/>
        <c:axId val="230256352"/>
      </c:scatterChart>
      <c:valAx>
        <c:axId val="230255792"/>
        <c:scaling>
          <c:orientation val="minMax"/>
          <c:max val="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TIME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v-SE"/>
          </a:p>
        </c:txPr>
        <c:crossAx val="230256352"/>
        <c:crosses val="autoZero"/>
        <c:crossBetween val="midCat"/>
      </c:valAx>
      <c:valAx>
        <c:axId val="230256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VOLTAGES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v-SE"/>
          </a:p>
        </c:txPr>
        <c:crossAx val="230255792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3257227057144175"/>
          <c:y val="5.4214081904550064E-2"/>
          <c:w val="0.80193065340516645"/>
          <c:h val="8.278021003840904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VTC</a:t>
            </a:r>
          </a:p>
        </c:rich>
      </c:tx>
      <c:layout>
        <c:manualLayout>
          <c:xMode val="edge"/>
          <c:yMode val="edge"/>
          <c:x val="0.4777029130776716"/>
          <c:y val="9.52377405153341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6378551631049"/>
          <c:y val="0.1033980822091282"/>
          <c:w val="0.80704561477332604"/>
          <c:h val="0.76948798075132407"/>
        </c:manualLayout>
      </c:layout>
      <c:scatterChart>
        <c:scatterStyle val="lineMarker"/>
        <c:varyColors val="0"/>
        <c:ser>
          <c:idx val="6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'CALCULATION PAGE'!$A$34:$A$35</c:f>
              <c:numCache>
                <c:formatCode>General</c:formatCode>
                <c:ptCount val="2"/>
                <c:pt idx="0">
                  <c:v>0.38245553203367588</c:v>
                </c:pt>
                <c:pt idx="1">
                  <c:v>0.5059289460184544</c:v>
                </c:pt>
              </c:numCache>
            </c:numRef>
          </c:xVal>
          <c:yVal>
            <c:numRef>
              <c:f>'CALCULATION PAGE'!$B$34:$B$35</c:f>
              <c:numCache>
                <c:formatCode>General</c:formatCode>
                <c:ptCount val="2"/>
                <c:pt idx="0">
                  <c:v>0.94868329805051377</c:v>
                </c:pt>
                <c:pt idx="1">
                  <c:v>6.6946709513840907E-2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CDC-4084-88AC-ED9996AC7310}"/>
            </c:ext>
          </c:extLst>
        </c:ser>
        <c:ser>
          <c:idx val="2"/>
          <c:order val="3"/>
          <c:tx>
            <c:v>NOISE+'BIAS POINTS'!$38:$38 MARGINS 2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C00000"/>
              </a:solidFill>
            </c:spPr>
          </c:marker>
          <c:xVal>
            <c:numRef>
              <c:f>'CALCULATION PAGE'!$B$34:$B$35</c:f>
              <c:numCache>
                <c:formatCode>General</c:formatCode>
                <c:ptCount val="2"/>
                <c:pt idx="0">
                  <c:v>0.94868329805051377</c:v>
                </c:pt>
                <c:pt idx="1">
                  <c:v>6.6946709513840907E-2</c:v>
                </c:pt>
              </c:numCache>
            </c:numRef>
          </c:xVal>
          <c:yVal>
            <c:numRef>
              <c:f>'CALCULATION PAGE'!$A$34:$A$35</c:f>
              <c:numCache>
                <c:formatCode>General</c:formatCode>
                <c:ptCount val="2"/>
                <c:pt idx="0">
                  <c:v>0.38245553203367588</c:v>
                </c:pt>
                <c:pt idx="1">
                  <c:v>0.5059289460184544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B0-40AE-9F70-3FD814773C52}"/>
            </c:ext>
          </c:extLst>
        </c:ser>
        <c:ser>
          <c:idx val="3"/>
          <c:order val="4"/>
          <c:tx>
            <c:strRef>
              <c:f>'CALCULATION PAGE'!$A$36</c:f>
              <c:strCache>
                <c:ptCount val="1"/>
                <c:pt idx="0">
                  <c:v>NOISE MARGIN HIGH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0.19932655705049296"/>
                  <c:y val="-2.4844720496894408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VIH,min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BB0-40AE-9F70-3FD814773C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'CALCULATION PAGE'!$A$37:$A$41</c:f>
              <c:numCache>
                <c:formatCode>General</c:formatCode>
                <c:ptCount val="5"/>
                <c:pt idx="0">
                  <c:v>6.6946709513840907E-2</c:v>
                </c:pt>
                <c:pt idx="1">
                  <c:v>0.38245553203367588</c:v>
                </c:pt>
                <c:pt idx="2">
                  <c:v>0.38245553203367588</c:v>
                </c:pt>
                <c:pt idx="3">
                  <c:v>6.6946709513840907E-2</c:v>
                </c:pt>
                <c:pt idx="4">
                  <c:v>6.6946709513840907E-2</c:v>
                </c:pt>
              </c:numCache>
            </c:numRef>
          </c:xVal>
          <c:yVal>
            <c:numRef>
              <c:f>'CALCULATION PAGE'!$B$37:$B$41</c:f>
              <c:numCache>
                <c:formatCode>General</c:formatCode>
                <c:ptCount val="5"/>
                <c:pt idx="0">
                  <c:v>0.5059289460184544</c:v>
                </c:pt>
                <c:pt idx="1">
                  <c:v>0.5059289460184544</c:v>
                </c:pt>
                <c:pt idx="2">
                  <c:v>0.94868329805051377</c:v>
                </c:pt>
                <c:pt idx="3">
                  <c:v>0.94868329805051377</c:v>
                </c:pt>
                <c:pt idx="4">
                  <c:v>0.5059289460184544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BB0-40AE-9F70-3FD814773C52}"/>
            </c:ext>
          </c:extLst>
        </c:ser>
        <c:ser>
          <c:idx val="4"/>
          <c:order val="5"/>
          <c:tx>
            <c:strRef>
              <c:f>'CALCULATION PAGE'!$C$36</c:f>
              <c:strCache>
                <c:ptCount val="1"/>
                <c:pt idx="0">
                  <c:v>NOISE MARGIN LOW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8.6195055819071387E-2"/>
                  <c:y val="-2.7605244996549344E-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/>
                      <a:t>VOL,max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BB0-40AE-9F70-3FD814773C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BB0-40AE-9F70-3FD814773C5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BB0-40AE-9F70-3FD814773C5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808063669118663E-2"/>
                  <c:y val="3.036576949620428E-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/>
                      <a:t>VIL,max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BB0-40AE-9F70-3FD814773C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BB0-40AE-9F70-3FD814773C5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'CALCULATION PAGE'!$C$37:$C$41</c:f>
              <c:numCache>
                <c:formatCode>General</c:formatCode>
                <c:ptCount val="5"/>
                <c:pt idx="0">
                  <c:v>0.5059289460184544</c:v>
                </c:pt>
                <c:pt idx="1">
                  <c:v>0.94868329805051377</c:v>
                </c:pt>
                <c:pt idx="2">
                  <c:v>0.94868329805051377</c:v>
                </c:pt>
                <c:pt idx="3">
                  <c:v>0.5059289460184544</c:v>
                </c:pt>
                <c:pt idx="4">
                  <c:v>0.5059289460184544</c:v>
                </c:pt>
              </c:numCache>
            </c:numRef>
          </c:xVal>
          <c:yVal>
            <c:numRef>
              <c:f>'CALCULATION PAGE'!$D$37:$D$41</c:f>
              <c:numCache>
                <c:formatCode>General</c:formatCode>
                <c:ptCount val="5"/>
                <c:pt idx="0">
                  <c:v>6.6946709513840907E-2</c:v>
                </c:pt>
                <c:pt idx="1">
                  <c:v>6.6946709513840907E-2</c:v>
                </c:pt>
                <c:pt idx="2">
                  <c:v>0.38245553203367588</c:v>
                </c:pt>
                <c:pt idx="3">
                  <c:v>0.38245553203367588</c:v>
                </c:pt>
                <c:pt idx="4">
                  <c:v>6.6946709513840907E-2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BB0-40AE-9F70-3FD814773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726608"/>
        <c:axId val="269727168"/>
      </c:scatterChart>
      <c:scatterChart>
        <c:scatterStyle val="smoothMarker"/>
        <c:varyColors val="0"/>
        <c:ser>
          <c:idx val="0"/>
          <c:order val="0"/>
          <c:tx>
            <c:strRef>
              <c:f>'CALCULATION PAGE'!$E$1</c:f>
              <c:strCache>
                <c:ptCount val="1"/>
                <c:pt idx="0">
                  <c:v>VOUT</c:v>
                </c:pt>
              </c:strCache>
            </c:strRef>
          </c:tx>
          <c:spPr>
            <a:ln w="38100"/>
          </c:spPr>
          <c:marker>
            <c:symbol val="none"/>
          </c:marker>
          <c:dLbls>
            <c:dLbl>
              <c:idx val="6"/>
              <c:layout>
                <c:manualLayout>
                  <c:x val="-0.19393935280588509"/>
                  <c:y val="3.3126293995859216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VOH,min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BB0-40AE-9F70-3FD814773C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PAGE'!$E$2:$E$20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0.99743325873106148</c:v>
                </c:pt>
                <c:pt idx="4">
                  <c:v>0.98879563597877096</c:v>
                </c:pt>
                <c:pt idx="5">
                  <c:v>0.971959830145249</c:v>
                </c:pt>
                <c:pt idx="6">
                  <c:v>0.94280904158206336</c:v>
                </c:pt>
                <c:pt idx="7">
                  <c:v>0.89081835486727923</c:v>
                </c:pt>
                <c:pt idx="8">
                  <c:v>0.70710678118654746</c:v>
                </c:pt>
                <c:pt idx="9">
                  <c:v>0.45710678118654752</c:v>
                </c:pt>
                <c:pt idx="10">
                  <c:v>0.20710678118654752</c:v>
                </c:pt>
                <c:pt idx="11">
                  <c:v>6.6953338283713193E-2</c:v>
                </c:pt>
                <c:pt idx="12">
                  <c:v>3.3073526450774604E-2</c:v>
                </c:pt>
                <c:pt idx="13">
                  <c:v>1.5505028229784557E-2</c:v>
                </c:pt>
                <c:pt idx="14">
                  <c:v>5.9665553946088301E-3</c:v>
                </c:pt>
                <c:pt idx="15">
                  <c:v>1.3223270587438551E-3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DC-4084-88AC-ED9996AC7310}"/>
            </c:ext>
          </c:extLst>
        </c:ser>
        <c:ser>
          <c:idx val="1"/>
          <c:order val="2"/>
          <c:tx>
            <c:v>VIN</c:v>
          </c:tx>
          <c:marker>
            <c:symbol val="none"/>
          </c:marker>
          <c:xVal>
            <c:numRef>
              <c:f>'CALCULATION PAGE'!$E$2:$E$20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0.99743325873106148</c:v>
                </c:pt>
                <c:pt idx="4">
                  <c:v>0.98879563597877096</c:v>
                </c:pt>
                <c:pt idx="5">
                  <c:v>0.971959830145249</c:v>
                </c:pt>
                <c:pt idx="6">
                  <c:v>0.94280904158206336</c:v>
                </c:pt>
                <c:pt idx="7">
                  <c:v>0.89081835486727923</c:v>
                </c:pt>
                <c:pt idx="8">
                  <c:v>0.70710678118654746</c:v>
                </c:pt>
                <c:pt idx="9">
                  <c:v>0.45710678118654752</c:v>
                </c:pt>
                <c:pt idx="10">
                  <c:v>0.20710678118654752</c:v>
                </c:pt>
                <c:pt idx="11">
                  <c:v>6.6953338283713193E-2</c:v>
                </c:pt>
                <c:pt idx="12">
                  <c:v>3.3073526450774604E-2</c:v>
                </c:pt>
                <c:pt idx="13">
                  <c:v>1.5505028229784557E-2</c:v>
                </c:pt>
                <c:pt idx="14">
                  <c:v>5.9665553946088301E-3</c:v>
                </c:pt>
                <c:pt idx="15">
                  <c:v>1.3223270587438551E-3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xVal>
          <c:y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EBB0-40AE-9F70-3FD814773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726608"/>
        <c:axId val="269727168"/>
      </c:scatterChart>
      <c:valAx>
        <c:axId val="26972660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VIN [V]</a:t>
                </a:r>
              </a:p>
            </c:rich>
          </c:tx>
          <c:layout>
            <c:manualLayout>
              <c:xMode val="edge"/>
              <c:yMode val="edge"/>
              <c:x val="0.46193388755080728"/>
              <c:y val="0.9304703038519699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69727168"/>
        <c:crosses val="autoZero"/>
        <c:crossBetween val="midCat"/>
      </c:valAx>
      <c:valAx>
        <c:axId val="26972716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VOUT [V]</a:t>
                </a:r>
              </a:p>
            </c:rich>
          </c:tx>
          <c:layout>
            <c:manualLayout>
              <c:xMode val="edge"/>
              <c:yMode val="edge"/>
              <c:x val="1.2025932655853916E-2"/>
              <c:y val="0.3510709406894730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6972660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VTC</a:t>
            </a:r>
          </a:p>
        </c:rich>
      </c:tx>
      <c:layout>
        <c:manualLayout>
          <c:xMode val="edge"/>
          <c:yMode val="edge"/>
          <c:x val="0.4777029130776716"/>
          <c:y val="9.52377405153341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6378551631049"/>
          <c:y val="0.1033980822091282"/>
          <c:w val="0.72638140872960277"/>
          <c:h val="0.769487980751324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'CALCULATION PAGE'!$E$1</c:f>
              <c:strCache>
                <c:ptCount val="1"/>
                <c:pt idx="0">
                  <c:v>VOUT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PAGE'!$E$2:$E$20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0.99743325873106148</c:v>
                </c:pt>
                <c:pt idx="4">
                  <c:v>0.98879563597877096</c:v>
                </c:pt>
                <c:pt idx="5">
                  <c:v>0.971959830145249</c:v>
                </c:pt>
                <c:pt idx="6">
                  <c:v>0.94280904158206336</c:v>
                </c:pt>
                <c:pt idx="7">
                  <c:v>0.89081835486727923</c:v>
                </c:pt>
                <c:pt idx="8">
                  <c:v>0.70710678118654746</c:v>
                </c:pt>
                <c:pt idx="9">
                  <c:v>0.45710678118654752</c:v>
                </c:pt>
                <c:pt idx="10">
                  <c:v>0.20710678118654752</c:v>
                </c:pt>
                <c:pt idx="11">
                  <c:v>6.6953338283713193E-2</c:v>
                </c:pt>
                <c:pt idx="12">
                  <c:v>3.3073526450774604E-2</c:v>
                </c:pt>
                <c:pt idx="13">
                  <c:v>1.5505028229784557E-2</c:v>
                </c:pt>
                <c:pt idx="14">
                  <c:v>5.9665553946088301E-3</c:v>
                </c:pt>
                <c:pt idx="15">
                  <c:v>1.3223270587438551E-3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DC-4084-88AC-ED9996AC7310}"/>
            </c:ext>
          </c:extLst>
        </c:ser>
        <c:ser>
          <c:idx val="3"/>
          <c:order val="1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'CALCULATION PAGE'!$I$2:$I$3</c:f>
              <c:numCache>
                <c:formatCode>General</c:formatCode>
                <c:ptCount val="2"/>
                <c:pt idx="0">
                  <c:v>0.25</c:v>
                </c:pt>
                <c:pt idx="1">
                  <c:v>0.25</c:v>
                </c:pt>
              </c:numCache>
            </c:numRef>
          </c:xVal>
          <c:yVal>
            <c:numRef>
              <c:f>'CALCULATION PAGE'!$J$2:$J$3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481-43D8-A5F4-A6C855B8333A}"/>
            </c:ext>
          </c:extLst>
        </c:ser>
        <c:ser>
          <c:idx val="5"/>
          <c:order val="2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'CALCULATION PAGE'!$I$5:$I$6</c:f>
              <c:numCache>
                <c:formatCode>General</c:formatCode>
                <c:ptCount val="2"/>
                <c:pt idx="0">
                  <c:v>0.75</c:v>
                </c:pt>
                <c:pt idx="1">
                  <c:v>0.75</c:v>
                </c:pt>
              </c:numCache>
            </c:numRef>
          </c:xVal>
          <c:yVal>
            <c:numRef>
              <c:f>'CALCULATION PAGE'!$J$5:$J$6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481-43D8-A5F4-A6C855B8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563488"/>
        <c:axId val="269564048"/>
      </c:scatterChart>
      <c:scatterChart>
        <c:scatterStyle val="smoothMarker"/>
        <c:varyColors val="0"/>
        <c:ser>
          <c:idx val="6"/>
          <c:order val="3"/>
          <c:tx>
            <c:strRef>
              <c:f>'STATIC CURRENT'!$L$1</c:f>
              <c:strCache>
                <c:ptCount val="1"/>
                <c:pt idx="0">
                  <c:v>IDSAT,N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'STATIC CURRENT'!$J$2:$J$12</c:f>
              <c:numCache>
                <c:formatCode>General</c:formatCode>
                <c:ptCount val="11"/>
                <c:pt idx="0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</c:numCache>
            </c:numRef>
          </c:xVal>
          <c:yVal>
            <c:numRef>
              <c:f>'STATIC CURRENT'!$L$2:$L$12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481-43D8-A5F4-A6C855B8333A}"/>
            </c:ext>
          </c:extLst>
        </c:ser>
        <c:ser>
          <c:idx val="7"/>
          <c:order val="4"/>
          <c:tx>
            <c:strRef>
              <c:f>'STATIC CURRENT'!$M$1</c:f>
              <c:strCache>
                <c:ptCount val="1"/>
                <c:pt idx="0">
                  <c:v>IDSAT,P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'STATIC CURRENT'!$J$10:$J$20</c:f>
              <c:numCache>
                <c:formatCode>General</c:formatCode>
                <c:ptCount val="11"/>
                <c:pt idx="0">
                  <c:v>0.45710678118654746</c:v>
                </c:pt>
                <c:pt idx="1">
                  <c:v>0.45710678118654752</c:v>
                </c:pt>
                <c:pt idx="2">
                  <c:v>0.45710678118654752</c:v>
                </c:pt>
                <c:pt idx="3">
                  <c:v>0.50592231765545626</c:v>
                </c:pt>
                <c:pt idx="4">
                  <c:v>0.55473785412436505</c:v>
                </c:pt>
                <c:pt idx="5">
                  <c:v>0.60355339059327384</c:v>
                </c:pt>
                <c:pt idx="6">
                  <c:v>0.65236892706218264</c:v>
                </c:pt>
                <c:pt idx="7">
                  <c:v>0.70118446353109143</c:v>
                </c:pt>
                <c:pt idx="8">
                  <c:v>0.75</c:v>
                </c:pt>
                <c:pt idx="9">
                  <c:v>0.875</c:v>
                </c:pt>
                <c:pt idx="10">
                  <c:v>1</c:v>
                </c:pt>
              </c:numCache>
            </c:numRef>
          </c:xVal>
          <c:yVal>
            <c:numRef>
              <c:f>'STATIC CURRENT'!$M$10:$M$20</c:f>
              <c:numCache>
                <c:formatCode>General</c:formatCode>
                <c:ptCount val="11"/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7481-43D8-A5F4-A6C855B8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565168"/>
        <c:axId val="269564608"/>
      </c:scatterChart>
      <c:valAx>
        <c:axId val="26956348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VIN [V]</a:t>
                </a:r>
              </a:p>
            </c:rich>
          </c:tx>
          <c:layout>
            <c:manualLayout>
              <c:xMode val="edge"/>
              <c:yMode val="edge"/>
              <c:x val="0.46193388755080728"/>
              <c:y val="0.9304703038519699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v-SE"/>
          </a:p>
        </c:txPr>
        <c:crossAx val="269564048"/>
        <c:crosses val="autoZero"/>
        <c:crossBetween val="midCat"/>
      </c:valAx>
      <c:valAx>
        <c:axId val="26956404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VOUT [V]</a:t>
                </a:r>
              </a:p>
            </c:rich>
          </c:tx>
          <c:layout>
            <c:manualLayout>
              <c:xMode val="edge"/>
              <c:yMode val="edge"/>
              <c:x val="1.2025932655853916E-2"/>
              <c:y val="0.3510709406894730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v-SE"/>
          </a:p>
        </c:txPr>
        <c:crossAx val="269563488"/>
        <c:crosses val="autoZero"/>
        <c:crossBetween val="midCat"/>
      </c:valAx>
      <c:valAx>
        <c:axId val="269564608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SHORT-CKT CURRENT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v-SE"/>
          </a:p>
        </c:txPr>
        <c:crossAx val="269565168"/>
        <c:crosses val="max"/>
        <c:crossBetween val="midCat"/>
      </c:valAx>
      <c:valAx>
        <c:axId val="26956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956460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VTC</a:t>
            </a:r>
          </a:p>
        </c:rich>
      </c:tx>
      <c:layout>
        <c:manualLayout>
          <c:xMode val="edge"/>
          <c:yMode val="edge"/>
          <c:x val="0.4777029130776716"/>
          <c:y val="9.52377405153341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6378551631049"/>
          <c:y val="0.1033980822091282"/>
          <c:w val="0.80704561477332604"/>
          <c:h val="0.769487980751324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'CALCULATION PAGE'!$E$1</c:f>
              <c:strCache>
                <c:ptCount val="1"/>
                <c:pt idx="0">
                  <c:v>VOUT</c:v>
                </c:pt>
              </c:strCache>
            </c:strRef>
          </c:tx>
          <c:spPr>
            <a:ln w="38100"/>
          </c:spPr>
          <c:marker>
            <c:spPr>
              <a:noFill/>
            </c:spPr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PAGE'!$E$2:$E$20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0.99743325873106148</c:v>
                </c:pt>
                <c:pt idx="4">
                  <c:v>0.98879563597877096</c:v>
                </c:pt>
                <c:pt idx="5">
                  <c:v>0.971959830145249</c:v>
                </c:pt>
                <c:pt idx="6">
                  <c:v>0.94280904158206336</c:v>
                </c:pt>
                <c:pt idx="7">
                  <c:v>0.89081835486727923</c:v>
                </c:pt>
                <c:pt idx="8">
                  <c:v>0.70710678118654746</c:v>
                </c:pt>
                <c:pt idx="9">
                  <c:v>0.45710678118654752</c:v>
                </c:pt>
                <c:pt idx="10">
                  <c:v>0.20710678118654752</c:v>
                </c:pt>
                <c:pt idx="11">
                  <c:v>6.6953338283713193E-2</c:v>
                </c:pt>
                <c:pt idx="12">
                  <c:v>3.3073526450774604E-2</c:v>
                </c:pt>
                <c:pt idx="13">
                  <c:v>1.5505028229784557E-2</c:v>
                </c:pt>
                <c:pt idx="14">
                  <c:v>5.9665553946088301E-3</c:v>
                </c:pt>
                <c:pt idx="15">
                  <c:v>1.3223270587438551E-3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DC-4084-88AC-ED9996AC7310}"/>
            </c:ext>
          </c:extLst>
        </c:ser>
        <c:ser>
          <c:idx val="2"/>
          <c:order val="1"/>
          <c:tx>
            <c:strRef>
              <c:f>'CALCULATION PAGE'!$F$1</c:f>
              <c:strCache>
                <c:ptCount val="1"/>
                <c:pt idx="0">
                  <c:v>VIN-VTN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PAGE'!$F$2:$F$20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3.4517796864424577E-2</c:v>
                </c:pt>
                <c:pt idx="4">
                  <c:v>6.9035593728849154E-2</c:v>
                </c:pt>
                <c:pt idx="5">
                  <c:v>0.10355339059327373</c:v>
                </c:pt>
                <c:pt idx="6">
                  <c:v>0.13807118745769831</c:v>
                </c:pt>
                <c:pt idx="7">
                  <c:v>0.17258898432212288</c:v>
                </c:pt>
                <c:pt idx="8">
                  <c:v>0.20710678118654746</c:v>
                </c:pt>
                <c:pt idx="9">
                  <c:v>0.20710678118654752</c:v>
                </c:pt>
                <c:pt idx="10">
                  <c:v>0.20710678118654752</c:v>
                </c:pt>
                <c:pt idx="11">
                  <c:v>0.25592231765545626</c:v>
                </c:pt>
                <c:pt idx="12">
                  <c:v>0.30473785412436505</c:v>
                </c:pt>
                <c:pt idx="13">
                  <c:v>0.35355339059327384</c:v>
                </c:pt>
                <c:pt idx="14">
                  <c:v>0.40236892706218264</c:v>
                </c:pt>
                <c:pt idx="15">
                  <c:v>0.45118446353109143</c:v>
                </c:pt>
                <c:pt idx="16">
                  <c:v>0.5</c:v>
                </c:pt>
                <c:pt idx="17">
                  <c:v>0.625</c:v>
                </c:pt>
                <c:pt idx="18">
                  <c:v>0.75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CDC-4084-88AC-ED9996AC7310}"/>
            </c:ext>
          </c:extLst>
        </c:ser>
        <c:ser>
          <c:idx val="4"/>
          <c:order val="2"/>
          <c:tx>
            <c:strRef>
              <c:f>'CALCULATION PAGE'!$G$1</c:f>
              <c:strCache>
                <c:ptCount val="1"/>
                <c:pt idx="0">
                  <c:v>VIN-VTP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PAGE'!$G$2:$G$18</c:f>
              <c:numCache>
                <c:formatCode>General</c:formatCode>
                <c:ptCount val="17"/>
                <c:pt idx="0">
                  <c:v>0.25</c:v>
                </c:pt>
                <c:pt idx="1">
                  <c:v>0.45</c:v>
                </c:pt>
                <c:pt idx="2">
                  <c:v>0.5</c:v>
                </c:pt>
                <c:pt idx="3">
                  <c:v>0.53451779686442458</c:v>
                </c:pt>
                <c:pt idx="4">
                  <c:v>0.56903559372884915</c:v>
                </c:pt>
                <c:pt idx="5">
                  <c:v>0.60355339059327373</c:v>
                </c:pt>
                <c:pt idx="6">
                  <c:v>0.63807118745769831</c:v>
                </c:pt>
                <c:pt idx="7">
                  <c:v>0.67258898432212288</c:v>
                </c:pt>
                <c:pt idx="8">
                  <c:v>0.70710678118654746</c:v>
                </c:pt>
                <c:pt idx="9">
                  <c:v>0.70710678118654746</c:v>
                </c:pt>
                <c:pt idx="10">
                  <c:v>0.70710678118654746</c:v>
                </c:pt>
                <c:pt idx="11">
                  <c:v>0.75592231765545626</c:v>
                </c:pt>
                <c:pt idx="12">
                  <c:v>0.80473785412436505</c:v>
                </c:pt>
                <c:pt idx="13">
                  <c:v>0.85355339059327384</c:v>
                </c:pt>
                <c:pt idx="14">
                  <c:v>0.90236892706218264</c:v>
                </c:pt>
                <c:pt idx="15">
                  <c:v>0.95118446353109143</c:v>
                </c:pt>
                <c:pt idx="16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CDC-4084-88AC-ED9996AC7310}"/>
            </c:ext>
          </c:extLst>
        </c:ser>
        <c:ser>
          <c:idx val="6"/>
          <c:order val="3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'CALCULATION PAGE'!$A$34:$A$35</c:f>
              <c:numCache>
                <c:formatCode>General</c:formatCode>
                <c:ptCount val="2"/>
                <c:pt idx="0">
                  <c:v>0.38245553203367588</c:v>
                </c:pt>
                <c:pt idx="1">
                  <c:v>0.5059289460184544</c:v>
                </c:pt>
              </c:numCache>
            </c:numRef>
          </c:xVal>
          <c:yVal>
            <c:numRef>
              <c:f>'CALCULATION PAGE'!$B$34:$B$35</c:f>
              <c:numCache>
                <c:formatCode>General</c:formatCode>
                <c:ptCount val="2"/>
                <c:pt idx="0">
                  <c:v>0.94868329805051377</c:v>
                </c:pt>
                <c:pt idx="1">
                  <c:v>6.6946709513840907E-2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6CDC-4084-88AC-ED9996AC7310}"/>
            </c:ext>
          </c:extLst>
        </c:ser>
        <c:ser>
          <c:idx val="3"/>
          <c:order val="4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'CALCULATION PAGE'!$I$2:$I$3</c:f>
              <c:numCache>
                <c:formatCode>General</c:formatCode>
                <c:ptCount val="2"/>
                <c:pt idx="0">
                  <c:v>0.25</c:v>
                </c:pt>
                <c:pt idx="1">
                  <c:v>0.25</c:v>
                </c:pt>
              </c:numCache>
            </c:numRef>
          </c:xVal>
          <c:yVal>
            <c:numRef>
              <c:f>'CALCULATION PAGE'!$J$2:$J$3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1F-40F2-872C-C33DBC7D86F5}"/>
            </c:ext>
          </c:extLst>
        </c:ser>
        <c:ser>
          <c:idx val="5"/>
          <c:order val="5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'CALCULATION PAGE'!$I$5:$I$6</c:f>
              <c:numCache>
                <c:formatCode>General</c:formatCode>
                <c:ptCount val="2"/>
                <c:pt idx="0">
                  <c:v>0.75</c:v>
                </c:pt>
                <c:pt idx="1">
                  <c:v>0.75</c:v>
                </c:pt>
              </c:numCache>
            </c:numRef>
          </c:xVal>
          <c:yVal>
            <c:numRef>
              <c:f>'CALCULATION PAGE'!$J$5:$J$6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01F-40F2-872C-C33DBC7D86F5}"/>
            </c:ext>
          </c:extLst>
        </c:ser>
        <c:ser>
          <c:idx val="1"/>
          <c:order val="6"/>
          <c:marker>
            <c:symbol val="circle"/>
            <c:size val="11"/>
            <c:spPr>
              <a:noFill/>
              <a:ln w="25400">
                <a:solidFill>
                  <a:srgbClr val="C00000"/>
                </a:solidFill>
              </a:ln>
            </c:spPr>
          </c:marker>
          <c:xVal>
            <c:numRef>
              <c:f>'CALCULATION PAGE'!$H$7:$H$9</c:f>
              <c:numCache>
                <c:formatCode>General</c:formatCode>
                <c:ptCount val="3"/>
                <c:pt idx="0">
                  <c:v>0.751</c:v>
                </c:pt>
                <c:pt idx="1">
                  <c:v>0.751</c:v>
                </c:pt>
                <c:pt idx="2">
                  <c:v>0.751</c:v>
                </c:pt>
              </c:numCache>
            </c:numRef>
          </c:xVal>
          <c:yVal>
            <c:numRef>
              <c:f>'CALCULATION PAGE'!$I$7:$I$9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01F-40F2-872C-C33DBC7D8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207648"/>
        <c:axId val="270208208"/>
      </c:scatterChart>
      <c:valAx>
        <c:axId val="27020764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VIN [V]</a:t>
                </a:r>
              </a:p>
            </c:rich>
          </c:tx>
          <c:layout>
            <c:manualLayout>
              <c:xMode val="edge"/>
              <c:yMode val="edge"/>
              <c:x val="0.46193388755080728"/>
              <c:y val="0.9304703038519699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0208208"/>
        <c:crosses val="autoZero"/>
        <c:crossBetween val="midCat"/>
      </c:valAx>
      <c:valAx>
        <c:axId val="27020820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VOUT [V]</a:t>
                </a:r>
              </a:p>
            </c:rich>
          </c:tx>
          <c:layout>
            <c:manualLayout>
              <c:xMode val="edge"/>
              <c:yMode val="edge"/>
              <c:x val="1.2025932655853916E-2"/>
              <c:y val="0.3510709406894730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020764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86724739265746"/>
          <c:y val="3.2896354622338878E-2"/>
          <c:w val="0.8352243737259506"/>
          <c:h val="0.8573209682123067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'CALCULATION PAGE'!$B$1</c:f>
              <c:strCache>
                <c:ptCount val="1"/>
                <c:pt idx="0">
                  <c:v>n-channel</c:v>
                </c:pt>
              </c:strCache>
            </c:strRef>
          </c:tx>
          <c:marker>
            <c:symbol val="none"/>
          </c:marker>
          <c:xVal>
            <c:numRef>
              <c:f>'CALCULATION PAGE'!$A$2:$A$22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xVal>
          <c:yVal>
            <c:numRef>
              <c:f>'CALCULATION PAGE'!$B$2:$B$22</c:f>
              <c:numCache>
                <c:formatCode>0.0</c:formatCode>
                <c:ptCount val="21"/>
                <c:pt idx="0">
                  <c:v>0</c:v>
                </c:pt>
                <c:pt idx="1">
                  <c:v>9.52</c:v>
                </c:pt>
                <c:pt idx="2">
                  <c:v>18.040000000000003</c:v>
                </c:pt>
                <c:pt idx="3">
                  <c:v>25.560000000000006</c:v>
                </c:pt>
                <c:pt idx="4">
                  <c:v>32.080000000000005</c:v>
                </c:pt>
                <c:pt idx="5">
                  <c:v>37.6</c:v>
                </c:pt>
                <c:pt idx="6">
                  <c:v>42.11999999999999</c:v>
                </c:pt>
                <c:pt idx="7">
                  <c:v>45.64</c:v>
                </c:pt>
                <c:pt idx="8">
                  <c:v>48.160000000000004</c:v>
                </c:pt>
                <c:pt idx="9">
                  <c:v>49.68</c:v>
                </c:pt>
                <c:pt idx="10">
                  <c:v>50.199999999999996</c:v>
                </c:pt>
                <c:pt idx="11">
                  <c:v>50.200199999999995</c:v>
                </c:pt>
                <c:pt idx="12">
                  <c:v>50.200199999999995</c:v>
                </c:pt>
                <c:pt idx="13">
                  <c:v>50.200199999999995</c:v>
                </c:pt>
                <c:pt idx="14">
                  <c:v>50.200199999999995</c:v>
                </c:pt>
                <c:pt idx="15">
                  <c:v>50.200199999999995</c:v>
                </c:pt>
                <c:pt idx="16">
                  <c:v>50.200199999999995</c:v>
                </c:pt>
                <c:pt idx="17">
                  <c:v>50.200199999999995</c:v>
                </c:pt>
                <c:pt idx="18">
                  <c:v>50.200199999999995</c:v>
                </c:pt>
                <c:pt idx="19">
                  <c:v>50.200199999999995</c:v>
                </c:pt>
                <c:pt idx="20">
                  <c:v>50.200199999999995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2FA-4EFB-8126-26A9F525E9D3}"/>
            </c:ext>
          </c:extLst>
        </c:ser>
        <c:ser>
          <c:idx val="1"/>
          <c:order val="1"/>
          <c:tx>
            <c:strRef>
              <c:f>'CALCULATION PAGE'!$C$1</c:f>
              <c:strCache>
                <c:ptCount val="1"/>
                <c:pt idx="0">
                  <c:v>p-channel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'CALCULATION PAGE'!$A$2:$A$22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xVal>
          <c:yVal>
            <c:numRef>
              <c:f>'CALCULATION PAGE'!$C$2:$C$22</c:f>
              <c:numCache>
                <c:formatCode>0.0</c:formatCode>
                <c:ptCount val="21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2FA-4EFB-8126-26A9F525E9D3}"/>
            </c:ext>
          </c:extLst>
        </c:ser>
        <c:ser>
          <c:idx val="2"/>
          <c:order val="2"/>
          <c:tx>
            <c:strRef>
              <c:f>'CALCULATION PAGE'!$I$10</c:f>
              <c:strCache>
                <c:ptCount val="1"/>
                <c:pt idx="0">
                  <c:v>bias point(s)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</c:spPr>
          </c:marker>
          <c:xVal>
            <c:numRef>
              <c:f>'CALCULATION PAGE'!$I$7:$I$9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'CALCULATION PAGE'!$J$7:$J$9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2FA-4EFB-8126-26A9F525E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212128"/>
        <c:axId val="270212688"/>
      </c:scatterChart>
      <c:valAx>
        <c:axId val="27021212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VOUT [V]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0212688"/>
        <c:crosses val="autoZero"/>
        <c:crossBetween val="midCat"/>
      </c:valAx>
      <c:valAx>
        <c:axId val="27021268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IDD [V]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70212128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397156605424322"/>
          <c:y val="0.11072725284339457"/>
          <c:w val="0.18009021215816787"/>
          <c:h val="0.1607370078740157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VTC</a:t>
            </a:r>
          </a:p>
        </c:rich>
      </c:tx>
      <c:layout>
        <c:manualLayout>
          <c:xMode val="edge"/>
          <c:yMode val="edge"/>
          <c:x val="0.4777029130776716"/>
          <c:y val="9.52377405153341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6378551631049"/>
          <c:y val="0.1033980822091282"/>
          <c:w val="0.80704561477332604"/>
          <c:h val="0.76948798075132407"/>
        </c:manualLayout>
      </c:layout>
      <c:scatterChart>
        <c:scatterStyle val="lineMarker"/>
        <c:varyColors val="0"/>
        <c:ser>
          <c:idx val="6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'CALCULATION PAGE'!$A$34:$A$35</c:f>
              <c:numCache>
                <c:formatCode>General</c:formatCode>
                <c:ptCount val="2"/>
                <c:pt idx="0">
                  <c:v>0.38245553203367588</c:v>
                </c:pt>
                <c:pt idx="1">
                  <c:v>0.5059289460184544</c:v>
                </c:pt>
              </c:numCache>
            </c:numRef>
          </c:xVal>
          <c:yVal>
            <c:numRef>
              <c:f>'CALCULATION PAGE'!$B$34:$B$35</c:f>
              <c:numCache>
                <c:formatCode>General</c:formatCode>
                <c:ptCount val="2"/>
                <c:pt idx="0">
                  <c:v>0.94868329805051377</c:v>
                </c:pt>
                <c:pt idx="1">
                  <c:v>6.6946709513840907E-2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CDC-4084-88AC-ED9996AC7310}"/>
            </c:ext>
          </c:extLst>
        </c:ser>
        <c:ser>
          <c:idx val="2"/>
          <c:order val="3"/>
          <c:tx>
            <c:v>NOISE+'BIAS POINTS'!$38:$38 MARGINS 2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C00000"/>
              </a:solidFill>
            </c:spPr>
          </c:marker>
          <c:xVal>
            <c:numRef>
              <c:f>'CALCULATION PAGE'!$B$34:$B$35</c:f>
              <c:numCache>
                <c:formatCode>General</c:formatCode>
                <c:ptCount val="2"/>
                <c:pt idx="0">
                  <c:v>0.94868329805051377</c:v>
                </c:pt>
                <c:pt idx="1">
                  <c:v>6.6946709513840907E-2</c:v>
                </c:pt>
              </c:numCache>
            </c:numRef>
          </c:xVal>
          <c:yVal>
            <c:numRef>
              <c:f>'CALCULATION PAGE'!$A$34:$A$35</c:f>
              <c:numCache>
                <c:formatCode>General</c:formatCode>
                <c:ptCount val="2"/>
                <c:pt idx="0">
                  <c:v>0.38245553203367588</c:v>
                </c:pt>
                <c:pt idx="1">
                  <c:v>0.5059289460184544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87-4FE4-89CC-063BF5C36D72}"/>
            </c:ext>
          </c:extLst>
        </c:ser>
        <c:ser>
          <c:idx val="3"/>
          <c:order val="4"/>
          <c:tx>
            <c:strRef>
              <c:f>'CALCULATION PAGE'!$A$36</c:f>
              <c:strCache>
                <c:ptCount val="1"/>
                <c:pt idx="0">
                  <c:v>NOISE MARGIN HIGH</c:v>
                </c:pt>
              </c:strCache>
            </c:strRef>
          </c:tx>
          <c:marker>
            <c:symbol val="none"/>
          </c:marker>
          <c:xVal>
            <c:numRef>
              <c:f>'CALCULATION PAGE'!$A$37:$A$41</c:f>
              <c:numCache>
                <c:formatCode>General</c:formatCode>
                <c:ptCount val="5"/>
                <c:pt idx="0">
                  <c:v>6.6946709513840907E-2</c:v>
                </c:pt>
                <c:pt idx="1">
                  <c:v>0.38245553203367588</c:v>
                </c:pt>
                <c:pt idx="2">
                  <c:v>0.38245553203367588</c:v>
                </c:pt>
                <c:pt idx="3">
                  <c:v>6.6946709513840907E-2</c:v>
                </c:pt>
                <c:pt idx="4">
                  <c:v>6.6946709513840907E-2</c:v>
                </c:pt>
              </c:numCache>
            </c:numRef>
          </c:xVal>
          <c:yVal>
            <c:numRef>
              <c:f>'CALCULATION PAGE'!$B$37:$B$41</c:f>
              <c:numCache>
                <c:formatCode>General</c:formatCode>
                <c:ptCount val="5"/>
                <c:pt idx="0">
                  <c:v>0.5059289460184544</c:v>
                </c:pt>
                <c:pt idx="1">
                  <c:v>0.5059289460184544</c:v>
                </c:pt>
                <c:pt idx="2">
                  <c:v>0.94868329805051377</c:v>
                </c:pt>
                <c:pt idx="3">
                  <c:v>0.94868329805051377</c:v>
                </c:pt>
                <c:pt idx="4">
                  <c:v>0.5059289460184544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87-4FE4-89CC-063BF5C36D72}"/>
            </c:ext>
          </c:extLst>
        </c:ser>
        <c:ser>
          <c:idx val="4"/>
          <c:order val="5"/>
          <c:tx>
            <c:strRef>
              <c:f>'CALCULATION PAGE'!$C$36</c:f>
              <c:strCache>
                <c:ptCount val="1"/>
                <c:pt idx="0">
                  <c:v>NOISE MARGIN LOW</c:v>
                </c:pt>
              </c:strCache>
            </c:strRef>
          </c:tx>
          <c:marker>
            <c:symbol val="none"/>
          </c:marker>
          <c:xVal>
            <c:numRef>
              <c:f>'CALCULATION PAGE'!$C$37:$C$41</c:f>
              <c:numCache>
                <c:formatCode>General</c:formatCode>
                <c:ptCount val="5"/>
                <c:pt idx="0">
                  <c:v>0.5059289460184544</c:v>
                </c:pt>
                <c:pt idx="1">
                  <c:v>0.94868329805051377</c:v>
                </c:pt>
                <c:pt idx="2">
                  <c:v>0.94868329805051377</c:v>
                </c:pt>
                <c:pt idx="3">
                  <c:v>0.5059289460184544</c:v>
                </c:pt>
                <c:pt idx="4">
                  <c:v>0.5059289460184544</c:v>
                </c:pt>
              </c:numCache>
            </c:numRef>
          </c:xVal>
          <c:yVal>
            <c:numRef>
              <c:f>'CALCULATION PAGE'!$D$37:$D$41</c:f>
              <c:numCache>
                <c:formatCode>General</c:formatCode>
                <c:ptCount val="5"/>
                <c:pt idx="0">
                  <c:v>6.6946709513840907E-2</c:v>
                </c:pt>
                <c:pt idx="1">
                  <c:v>6.6946709513840907E-2</c:v>
                </c:pt>
                <c:pt idx="2">
                  <c:v>0.38245553203367588</c:v>
                </c:pt>
                <c:pt idx="3">
                  <c:v>0.38245553203367588</c:v>
                </c:pt>
                <c:pt idx="4">
                  <c:v>6.6946709513840907E-2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C87-4FE4-89CC-063BF5C36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699680"/>
        <c:axId val="270700240"/>
      </c:scatterChart>
      <c:scatterChart>
        <c:scatterStyle val="smoothMarker"/>
        <c:varyColors val="0"/>
        <c:ser>
          <c:idx val="0"/>
          <c:order val="0"/>
          <c:tx>
            <c:strRef>
              <c:f>'CALCULATION PAGE'!$E$1</c:f>
              <c:strCache>
                <c:ptCount val="1"/>
                <c:pt idx="0">
                  <c:v>VOUT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xVal>
          <c:yVal>
            <c:numRef>
              <c:f>'CALCULATION PAGE'!$E$2:$E$20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0.99743325873106148</c:v>
                </c:pt>
                <c:pt idx="4">
                  <c:v>0.98879563597877096</c:v>
                </c:pt>
                <c:pt idx="5">
                  <c:v>0.971959830145249</c:v>
                </c:pt>
                <c:pt idx="6">
                  <c:v>0.94280904158206336</c:v>
                </c:pt>
                <c:pt idx="7">
                  <c:v>0.89081835486727923</c:v>
                </c:pt>
                <c:pt idx="8">
                  <c:v>0.70710678118654746</c:v>
                </c:pt>
                <c:pt idx="9">
                  <c:v>0.45710678118654752</c:v>
                </c:pt>
                <c:pt idx="10">
                  <c:v>0.20710678118654752</c:v>
                </c:pt>
                <c:pt idx="11">
                  <c:v>6.6953338283713193E-2</c:v>
                </c:pt>
                <c:pt idx="12">
                  <c:v>3.3073526450774604E-2</c:v>
                </c:pt>
                <c:pt idx="13">
                  <c:v>1.5505028229784557E-2</c:v>
                </c:pt>
                <c:pt idx="14">
                  <c:v>5.9665553946088301E-3</c:v>
                </c:pt>
                <c:pt idx="15">
                  <c:v>1.3223270587438551E-3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DC-4084-88AC-ED9996AC7310}"/>
            </c:ext>
          </c:extLst>
        </c:ser>
        <c:ser>
          <c:idx val="1"/>
          <c:order val="2"/>
          <c:tx>
            <c:v>VIN</c:v>
          </c:tx>
          <c:marker>
            <c:symbol val="none"/>
          </c:marker>
          <c:xVal>
            <c:numRef>
              <c:f>'CALCULATION PAGE'!$E$2:$E$20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0.99743325873106148</c:v>
                </c:pt>
                <c:pt idx="4">
                  <c:v>0.98879563597877096</c:v>
                </c:pt>
                <c:pt idx="5">
                  <c:v>0.971959830145249</c:v>
                </c:pt>
                <c:pt idx="6">
                  <c:v>0.94280904158206336</c:v>
                </c:pt>
                <c:pt idx="7">
                  <c:v>0.89081835486727923</c:v>
                </c:pt>
                <c:pt idx="8">
                  <c:v>0.70710678118654746</c:v>
                </c:pt>
                <c:pt idx="9">
                  <c:v>0.45710678118654752</c:v>
                </c:pt>
                <c:pt idx="10">
                  <c:v>0.20710678118654752</c:v>
                </c:pt>
                <c:pt idx="11">
                  <c:v>6.6953338283713193E-2</c:v>
                </c:pt>
                <c:pt idx="12">
                  <c:v>3.3073526450774604E-2</c:v>
                </c:pt>
                <c:pt idx="13">
                  <c:v>1.5505028229784557E-2</c:v>
                </c:pt>
                <c:pt idx="14">
                  <c:v>5.9665553946088301E-3</c:v>
                </c:pt>
                <c:pt idx="15">
                  <c:v>1.3223270587438551E-3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xVal>
          <c:yVal>
            <c:numRef>
              <c:f>'CALCULATION PAGE'!$D$2:$D$20</c:f>
              <c:numCache>
                <c:formatCode>0.00</c:formatCode>
                <c:ptCount val="19"/>
                <c:pt idx="0" formatCode="General">
                  <c:v>0</c:v>
                </c:pt>
                <c:pt idx="1">
                  <c:v>0.2</c:v>
                </c:pt>
                <c:pt idx="2">
                  <c:v>0.25</c:v>
                </c:pt>
                <c:pt idx="3">
                  <c:v>0.28451779686442458</c:v>
                </c:pt>
                <c:pt idx="4">
                  <c:v>0.31903559372884915</c:v>
                </c:pt>
                <c:pt idx="5">
                  <c:v>0.35355339059327373</c:v>
                </c:pt>
                <c:pt idx="6">
                  <c:v>0.38807118745769831</c:v>
                </c:pt>
                <c:pt idx="7">
                  <c:v>0.42258898432212288</c:v>
                </c:pt>
                <c:pt idx="8">
                  <c:v>0.45710678118654746</c:v>
                </c:pt>
                <c:pt idx="9">
                  <c:v>0.45710678118654752</c:v>
                </c:pt>
                <c:pt idx="10">
                  <c:v>0.45710678118654752</c:v>
                </c:pt>
                <c:pt idx="11">
                  <c:v>0.50592231765545626</c:v>
                </c:pt>
                <c:pt idx="12">
                  <c:v>0.55473785412436505</c:v>
                </c:pt>
                <c:pt idx="13">
                  <c:v>0.60355339059327384</c:v>
                </c:pt>
                <c:pt idx="14">
                  <c:v>0.65236892706218264</c:v>
                </c:pt>
                <c:pt idx="15">
                  <c:v>0.70118446353109143</c:v>
                </c:pt>
                <c:pt idx="16">
                  <c:v>0.75</c:v>
                </c:pt>
                <c:pt idx="17">
                  <c:v>0.875</c:v>
                </c:pt>
                <c:pt idx="18" formatCode="General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C87-4FE4-89CC-063BF5C36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699680"/>
        <c:axId val="270700240"/>
      </c:scatterChart>
      <c:valAx>
        <c:axId val="270699680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VIN [V]</a:t>
                </a:r>
              </a:p>
            </c:rich>
          </c:tx>
          <c:layout>
            <c:manualLayout>
              <c:xMode val="edge"/>
              <c:yMode val="edge"/>
              <c:x val="0.46193388755080728"/>
              <c:y val="0.9304703038519699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0700240"/>
        <c:crosses val="autoZero"/>
        <c:crossBetween val="midCat"/>
      </c:valAx>
      <c:valAx>
        <c:axId val="27070024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VOUT [V]</a:t>
                </a:r>
              </a:p>
            </c:rich>
          </c:tx>
          <c:layout>
            <c:manualLayout>
              <c:xMode val="edge"/>
              <c:yMode val="edge"/>
              <c:x val="1.2025932655853916E-2"/>
              <c:y val="0.3510709406894730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0699680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457199</xdr:colOff>
      <xdr:row>1</xdr:row>
      <xdr:rowOff>76200</xdr:rowOff>
    </xdr:from>
    <xdr:to>
      <xdr:col>15</xdr:col>
      <xdr:colOff>369507</xdr:colOff>
      <xdr:row>19</xdr:row>
      <xdr:rowOff>82986</xdr:rowOff>
    </xdr:to>
    <xdr:grpSp>
      <xdr:nvGrpSpPr>
        <xdr:cNvPr id="4" name="Group 3"/>
        <xdr:cNvGrpSpPr/>
      </xdr:nvGrpSpPr>
      <xdr:grpSpPr>
        <a:xfrm>
          <a:off x="5943599" y="457200"/>
          <a:ext cx="3941383" cy="3435786"/>
          <a:chOff x="5877774" y="2345890"/>
          <a:chExt cx="4293235" cy="4321610"/>
        </a:xfrm>
      </xdr:grpSpPr>
      <xdr:sp macro="" textlink="">
        <xdr:nvSpPr>
          <xdr:cNvPr id="5" name="Rectangle 4"/>
          <xdr:cNvSpPr/>
        </xdr:nvSpPr>
        <xdr:spPr>
          <a:xfrm>
            <a:off x="5877774" y="2345890"/>
            <a:ext cx="1071029" cy="4319997"/>
          </a:xfrm>
          <a:prstGeom prst="rect">
            <a:avLst/>
          </a:prstGeom>
          <a:solidFill>
            <a:srgbClr val="FF0000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6" name="Rectangle 5"/>
          <xdr:cNvSpPr/>
        </xdr:nvSpPr>
        <xdr:spPr>
          <a:xfrm>
            <a:off x="9092631" y="2345890"/>
            <a:ext cx="1078378" cy="4319997"/>
          </a:xfrm>
          <a:prstGeom prst="rect">
            <a:avLst/>
          </a:prstGeom>
          <a:solidFill>
            <a:srgbClr val="FF0000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</xdr:txBody>
      </xdr:sp>
      <xdr:sp macro="" textlink="">
        <xdr:nvSpPr>
          <xdr:cNvPr id="7" name="Freeform 6"/>
          <xdr:cNvSpPr/>
        </xdr:nvSpPr>
        <xdr:spPr>
          <a:xfrm>
            <a:off x="6935930" y="2345894"/>
            <a:ext cx="2166134" cy="4321606"/>
          </a:xfrm>
          <a:custGeom>
            <a:avLst/>
            <a:gdLst>
              <a:gd name="connsiteX0" fmla="*/ 0 w 2181225"/>
              <a:gd name="connsiteY0" fmla="*/ 1828800 h 3400425"/>
              <a:gd name="connsiteX1" fmla="*/ 2181225 w 2181225"/>
              <a:gd name="connsiteY1" fmla="*/ 0 h 3400425"/>
              <a:gd name="connsiteX2" fmla="*/ 2181225 w 2181225"/>
              <a:gd name="connsiteY2" fmla="*/ 1581150 h 3400425"/>
              <a:gd name="connsiteX3" fmla="*/ 0 w 2181225"/>
              <a:gd name="connsiteY3" fmla="*/ 3400425 h 3400425"/>
              <a:gd name="connsiteX4" fmla="*/ 0 w 2181225"/>
              <a:gd name="connsiteY4" fmla="*/ 1828800 h 3400425"/>
              <a:gd name="connsiteX0" fmla="*/ 0 w 2190242"/>
              <a:gd name="connsiteY0" fmla="*/ 2224666 h 3400425"/>
              <a:gd name="connsiteX1" fmla="*/ 2190242 w 2190242"/>
              <a:gd name="connsiteY1" fmla="*/ 0 h 3400425"/>
              <a:gd name="connsiteX2" fmla="*/ 2190242 w 2190242"/>
              <a:gd name="connsiteY2" fmla="*/ 1581150 h 3400425"/>
              <a:gd name="connsiteX3" fmla="*/ 9017 w 2190242"/>
              <a:gd name="connsiteY3" fmla="*/ 3400425 h 3400425"/>
              <a:gd name="connsiteX4" fmla="*/ 0 w 2190242"/>
              <a:gd name="connsiteY4" fmla="*/ 2224666 h 3400425"/>
              <a:gd name="connsiteX0" fmla="*/ 0 w 2190242"/>
              <a:gd name="connsiteY0" fmla="*/ 2188678 h 3364437"/>
              <a:gd name="connsiteX1" fmla="*/ 2190242 w 2190242"/>
              <a:gd name="connsiteY1" fmla="*/ 0 h 3364437"/>
              <a:gd name="connsiteX2" fmla="*/ 2190242 w 2190242"/>
              <a:gd name="connsiteY2" fmla="*/ 1545162 h 3364437"/>
              <a:gd name="connsiteX3" fmla="*/ 9017 w 2190242"/>
              <a:gd name="connsiteY3" fmla="*/ 3364437 h 3364437"/>
              <a:gd name="connsiteX4" fmla="*/ 0 w 2190242"/>
              <a:gd name="connsiteY4" fmla="*/ 2188678 h 3364437"/>
              <a:gd name="connsiteX0" fmla="*/ 0 w 2190242"/>
              <a:gd name="connsiteY0" fmla="*/ 2188678 h 3364437"/>
              <a:gd name="connsiteX1" fmla="*/ 2190242 w 2190242"/>
              <a:gd name="connsiteY1" fmla="*/ 0 h 3364437"/>
              <a:gd name="connsiteX2" fmla="*/ 2190242 w 2190242"/>
              <a:gd name="connsiteY2" fmla="*/ 1257260 h 3364437"/>
              <a:gd name="connsiteX3" fmla="*/ 9017 w 2190242"/>
              <a:gd name="connsiteY3" fmla="*/ 3364437 h 3364437"/>
              <a:gd name="connsiteX4" fmla="*/ 0 w 2190242"/>
              <a:gd name="connsiteY4" fmla="*/ 2188678 h 3364437"/>
              <a:gd name="connsiteX0" fmla="*/ 0 w 2199259"/>
              <a:gd name="connsiteY0" fmla="*/ 2188678 h 3364437"/>
              <a:gd name="connsiteX1" fmla="*/ 2199259 w 2199259"/>
              <a:gd name="connsiteY1" fmla="*/ 0 h 3364437"/>
              <a:gd name="connsiteX2" fmla="*/ 2199259 w 2199259"/>
              <a:gd name="connsiteY2" fmla="*/ 1257260 h 3364437"/>
              <a:gd name="connsiteX3" fmla="*/ 18034 w 2199259"/>
              <a:gd name="connsiteY3" fmla="*/ 3364437 h 3364437"/>
              <a:gd name="connsiteX4" fmla="*/ 0 w 2199259"/>
              <a:gd name="connsiteY4" fmla="*/ 2188678 h 3364437"/>
              <a:gd name="connsiteX0" fmla="*/ 869 w 2182093"/>
              <a:gd name="connsiteY0" fmla="*/ 2188678 h 3364437"/>
              <a:gd name="connsiteX1" fmla="*/ 2182093 w 2182093"/>
              <a:gd name="connsiteY1" fmla="*/ 0 h 3364437"/>
              <a:gd name="connsiteX2" fmla="*/ 2182093 w 2182093"/>
              <a:gd name="connsiteY2" fmla="*/ 1257260 h 3364437"/>
              <a:gd name="connsiteX3" fmla="*/ 868 w 2182093"/>
              <a:gd name="connsiteY3" fmla="*/ 3364437 h 3364437"/>
              <a:gd name="connsiteX4" fmla="*/ 869 w 2182093"/>
              <a:gd name="connsiteY4" fmla="*/ 2188678 h 3364437"/>
              <a:gd name="connsiteX0" fmla="*/ 0 w 2190241"/>
              <a:gd name="connsiteY0" fmla="*/ 2188678 h 3364437"/>
              <a:gd name="connsiteX1" fmla="*/ 2190241 w 2190241"/>
              <a:gd name="connsiteY1" fmla="*/ 0 h 3364437"/>
              <a:gd name="connsiteX2" fmla="*/ 2190241 w 2190241"/>
              <a:gd name="connsiteY2" fmla="*/ 1257260 h 3364437"/>
              <a:gd name="connsiteX3" fmla="*/ 9016 w 2190241"/>
              <a:gd name="connsiteY3" fmla="*/ 3364437 h 3364437"/>
              <a:gd name="connsiteX4" fmla="*/ 0 w 2190241"/>
              <a:gd name="connsiteY4" fmla="*/ 2188678 h 3364437"/>
              <a:gd name="connsiteX0" fmla="*/ 903 w 2182089"/>
              <a:gd name="connsiteY0" fmla="*/ 2161973 h 3364437"/>
              <a:gd name="connsiteX1" fmla="*/ 2182089 w 2182089"/>
              <a:gd name="connsiteY1" fmla="*/ 0 h 3364437"/>
              <a:gd name="connsiteX2" fmla="*/ 2182089 w 2182089"/>
              <a:gd name="connsiteY2" fmla="*/ 1257260 h 3364437"/>
              <a:gd name="connsiteX3" fmla="*/ 864 w 2182089"/>
              <a:gd name="connsiteY3" fmla="*/ 3364437 h 3364437"/>
              <a:gd name="connsiteX4" fmla="*/ 903 w 2182089"/>
              <a:gd name="connsiteY4" fmla="*/ 2161973 h 3364437"/>
              <a:gd name="connsiteX0" fmla="*/ 903 w 2182089"/>
              <a:gd name="connsiteY0" fmla="*/ 2170875 h 3364437"/>
              <a:gd name="connsiteX1" fmla="*/ 2182089 w 2182089"/>
              <a:gd name="connsiteY1" fmla="*/ 0 h 3364437"/>
              <a:gd name="connsiteX2" fmla="*/ 2182089 w 2182089"/>
              <a:gd name="connsiteY2" fmla="*/ 1257260 h 3364437"/>
              <a:gd name="connsiteX3" fmla="*/ 864 w 2182089"/>
              <a:gd name="connsiteY3" fmla="*/ 3364437 h 3364437"/>
              <a:gd name="connsiteX4" fmla="*/ 903 w 2182089"/>
              <a:gd name="connsiteY4" fmla="*/ 2170875 h 3364437"/>
              <a:gd name="connsiteX0" fmla="*/ 903 w 2182089"/>
              <a:gd name="connsiteY0" fmla="*/ 2144170 h 3337732"/>
              <a:gd name="connsiteX1" fmla="*/ 2182089 w 2182089"/>
              <a:gd name="connsiteY1" fmla="*/ 0 h 3337732"/>
              <a:gd name="connsiteX2" fmla="*/ 2182089 w 2182089"/>
              <a:gd name="connsiteY2" fmla="*/ 1230555 h 3337732"/>
              <a:gd name="connsiteX3" fmla="*/ 864 w 2182089"/>
              <a:gd name="connsiteY3" fmla="*/ 3337732 h 3337732"/>
              <a:gd name="connsiteX4" fmla="*/ 903 w 2182089"/>
              <a:gd name="connsiteY4" fmla="*/ 2144170 h 3337732"/>
              <a:gd name="connsiteX0" fmla="*/ 0 w 2199228"/>
              <a:gd name="connsiteY0" fmla="*/ 2144170 h 3337732"/>
              <a:gd name="connsiteX1" fmla="*/ 2199228 w 2199228"/>
              <a:gd name="connsiteY1" fmla="*/ 0 h 3337732"/>
              <a:gd name="connsiteX2" fmla="*/ 2199228 w 2199228"/>
              <a:gd name="connsiteY2" fmla="*/ 1230555 h 3337732"/>
              <a:gd name="connsiteX3" fmla="*/ 18003 w 2199228"/>
              <a:gd name="connsiteY3" fmla="*/ 3337732 h 3337732"/>
              <a:gd name="connsiteX4" fmla="*/ 0 w 2199228"/>
              <a:gd name="connsiteY4" fmla="*/ 2144170 h 3337732"/>
              <a:gd name="connsiteX0" fmla="*/ 0 w 2190207"/>
              <a:gd name="connsiteY0" fmla="*/ 2153001 h 3337732"/>
              <a:gd name="connsiteX1" fmla="*/ 2190207 w 2190207"/>
              <a:gd name="connsiteY1" fmla="*/ 0 h 3337732"/>
              <a:gd name="connsiteX2" fmla="*/ 2190207 w 2190207"/>
              <a:gd name="connsiteY2" fmla="*/ 1230555 h 3337732"/>
              <a:gd name="connsiteX3" fmla="*/ 8982 w 2190207"/>
              <a:gd name="connsiteY3" fmla="*/ 3337732 h 3337732"/>
              <a:gd name="connsiteX4" fmla="*/ 0 w 2190207"/>
              <a:gd name="connsiteY4" fmla="*/ 2153001 h 3337732"/>
              <a:gd name="connsiteX0" fmla="*/ 0 w 2190207"/>
              <a:gd name="connsiteY0" fmla="*/ 1785176 h 3337732"/>
              <a:gd name="connsiteX1" fmla="*/ 2190207 w 2190207"/>
              <a:gd name="connsiteY1" fmla="*/ 0 h 3337732"/>
              <a:gd name="connsiteX2" fmla="*/ 2190207 w 2190207"/>
              <a:gd name="connsiteY2" fmla="*/ 1230555 h 3337732"/>
              <a:gd name="connsiteX3" fmla="*/ 8982 w 2190207"/>
              <a:gd name="connsiteY3" fmla="*/ 3337732 h 3337732"/>
              <a:gd name="connsiteX4" fmla="*/ 0 w 2190207"/>
              <a:gd name="connsiteY4" fmla="*/ 1785176 h 3337732"/>
              <a:gd name="connsiteX0" fmla="*/ 0 w 2199262"/>
              <a:gd name="connsiteY0" fmla="*/ 1785176 h 3337732"/>
              <a:gd name="connsiteX1" fmla="*/ 2190207 w 2199262"/>
              <a:gd name="connsiteY1" fmla="*/ 0 h 3337732"/>
              <a:gd name="connsiteX2" fmla="*/ 2199262 w 2199262"/>
              <a:gd name="connsiteY2" fmla="*/ 1554241 h 3337732"/>
              <a:gd name="connsiteX3" fmla="*/ 8982 w 2199262"/>
              <a:gd name="connsiteY3" fmla="*/ 3337732 h 3337732"/>
              <a:gd name="connsiteX4" fmla="*/ 0 w 2199262"/>
              <a:gd name="connsiteY4" fmla="*/ 1785176 h 3337732"/>
              <a:gd name="connsiteX0" fmla="*/ 0 w 2190606"/>
              <a:gd name="connsiteY0" fmla="*/ 1785176 h 3337732"/>
              <a:gd name="connsiteX1" fmla="*/ 2190207 w 2190606"/>
              <a:gd name="connsiteY1" fmla="*/ 0 h 3337732"/>
              <a:gd name="connsiteX2" fmla="*/ 2181078 w 2190606"/>
              <a:gd name="connsiteY2" fmla="*/ 1561598 h 3337732"/>
              <a:gd name="connsiteX3" fmla="*/ 8982 w 2190606"/>
              <a:gd name="connsiteY3" fmla="*/ 3337732 h 3337732"/>
              <a:gd name="connsiteX4" fmla="*/ 0 w 2190606"/>
              <a:gd name="connsiteY4" fmla="*/ 1785176 h 3337732"/>
              <a:gd name="connsiteX0" fmla="*/ 0 w 2199262"/>
              <a:gd name="connsiteY0" fmla="*/ 1785176 h 3337732"/>
              <a:gd name="connsiteX1" fmla="*/ 2190207 w 2199262"/>
              <a:gd name="connsiteY1" fmla="*/ 0 h 3337732"/>
              <a:gd name="connsiteX2" fmla="*/ 2199262 w 2199262"/>
              <a:gd name="connsiteY2" fmla="*/ 1561598 h 3337732"/>
              <a:gd name="connsiteX3" fmla="*/ 8982 w 2199262"/>
              <a:gd name="connsiteY3" fmla="*/ 3337732 h 3337732"/>
              <a:gd name="connsiteX4" fmla="*/ 0 w 2199262"/>
              <a:gd name="connsiteY4" fmla="*/ 1785176 h 3337732"/>
              <a:gd name="connsiteX0" fmla="*/ 0 w 2191073"/>
              <a:gd name="connsiteY0" fmla="*/ 1785176 h 3337732"/>
              <a:gd name="connsiteX1" fmla="*/ 2190207 w 2191073"/>
              <a:gd name="connsiteY1" fmla="*/ 0 h 3337732"/>
              <a:gd name="connsiteX2" fmla="*/ 2190170 w 2191073"/>
              <a:gd name="connsiteY2" fmla="*/ 1568954 h 3337732"/>
              <a:gd name="connsiteX3" fmla="*/ 8982 w 2191073"/>
              <a:gd name="connsiteY3" fmla="*/ 3337732 h 3337732"/>
              <a:gd name="connsiteX4" fmla="*/ 0 w 2191073"/>
              <a:gd name="connsiteY4" fmla="*/ 1785176 h 3337732"/>
              <a:gd name="connsiteX0" fmla="*/ 2611 w 2182785"/>
              <a:gd name="connsiteY0" fmla="*/ 1668984 h 3337732"/>
              <a:gd name="connsiteX1" fmla="*/ 2181919 w 2182785"/>
              <a:gd name="connsiteY1" fmla="*/ 0 h 3337732"/>
              <a:gd name="connsiteX2" fmla="*/ 2181882 w 2182785"/>
              <a:gd name="connsiteY2" fmla="*/ 1568954 h 3337732"/>
              <a:gd name="connsiteX3" fmla="*/ 694 w 2182785"/>
              <a:gd name="connsiteY3" fmla="*/ 3337732 h 3337732"/>
              <a:gd name="connsiteX4" fmla="*/ 2611 w 2182785"/>
              <a:gd name="connsiteY4" fmla="*/ 1668984 h 3337732"/>
              <a:gd name="connsiteX0" fmla="*/ 2611 w 2182280"/>
              <a:gd name="connsiteY0" fmla="*/ 1668984 h 3337732"/>
              <a:gd name="connsiteX1" fmla="*/ 2181919 w 2182280"/>
              <a:gd name="connsiteY1" fmla="*/ 0 h 3337732"/>
              <a:gd name="connsiteX2" fmla="*/ 2170983 w 2182280"/>
              <a:gd name="connsiteY2" fmla="*/ 1646415 h 3337732"/>
              <a:gd name="connsiteX3" fmla="*/ 694 w 2182280"/>
              <a:gd name="connsiteY3" fmla="*/ 3337732 h 3337732"/>
              <a:gd name="connsiteX4" fmla="*/ 2611 w 2182280"/>
              <a:gd name="connsiteY4" fmla="*/ 1668984 h 33377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182280" h="3337732">
                <a:moveTo>
                  <a:pt x="2611" y="1668984"/>
                </a:moveTo>
                <a:cubicBezTo>
                  <a:pt x="732680" y="1073925"/>
                  <a:pt x="1451850" y="595059"/>
                  <a:pt x="2181919" y="0"/>
                </a:cubicBezTo>
                <a:cubicBezTo>
                  <a:pt x="2184937" y="518080"/>
                  <a:pt x="2167965" y="1128335"/>
                  <a:pt x="2170983" y="1646415"/>
                </a:cubicBezTo>
                <a:lnTo>
                  <a:pt x="694" y="3337732"/>
                </a:lnTo>
                <a:cubicBezTo>
                  <a:pt x="-2312" y="2945812"/>
                  <a:pt x="5617" y="2060904"/>
                  <a:pt x="2611" y="1668984"/>
                </a:cubicBezTo>
                <a:close/>
              </a:path>
            </a:pathLst>
          </a:custGeom>
          <a:solidFill>
            <a:srgbClr val="00B050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</xdr:txBody>
      </xdr:sp>
      <xdr:sp macro="" textlink="">
        <xdr:nvSpPr>
          <xdr:cNvPr id="8" name="Right Triangle 7"/>
          <xdr:cNvSpPr/>
        </xdr:nvSpPr>
        <xdr:spPr>
          <a:xfrm flipH="1">
            <a:off x="6915150" y="4473550"/>
            <a:ext cx="2176153" cy="2192338"/>
          </a:xfrm>
          <a:prstGeom prst="rtTriangle">
            <a:avLst/>
          </a:prstGeom>
          <a:solidFill>
            <a:srgbClr val="3399FF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9" name="Right Triangle 8"/>
          <xdr:cNvSpPr/>
        </xdr:nvSpPr>
        <xdr:spPr>
          <a:xfrm rot="10800000" flipH="1">
            <a:off x="6938428" y="2345890"/>
            <a:ext cx="2185330" cy="2177807"/>
          </a:xfrm>
          <a:prstGeom prst="rtTriangle">
            <a:avLst/>
          </a:prstGeom>
          <a:solidFill>
            <a:srgbClr val="3399FF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</xdr:grpSp>
    <xdr:clientData/>
  </xdr:twoCellAnchor>
  <xdr:twoCellAnchor>
    <xdr:from>
      <xdr:col>8</xdr:col>
      <xdr:colOff>285750</xdr:colOff>
      <xdr:row>0</xdr:row>
      <xdr:rowOff>0</xdr:rowOff>
    </xdr:from>
    <xdr:to>
      <xdr:col>15</xdr:col>
      <xdr:colOff>533400</xdr:colOff>
      <xdr:row>22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142874</xdr:colOff>
      <xdr:row>26</xdr:row>
      <xdr:rowOff>38099</xdr:rowOff>
    </xdr:from>
    <xdr:ext cx="2886075" cy="32028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3190874" y="5181599"/>
              <a:ext cx="2886075" cy="32028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sv-S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v-S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v-SE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sv-SE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sub>
                        </m:sSub>
                      </m:num>
                      <m:den>
                        <m:r>
                          <a:rPr lang="sv-SE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p>
                      <m:sSupPr>
                        <m:ctrlPr>
                          <a:rPr lang="sv-SE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sv-SE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sv-SE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sv-SE" sz="1100" b="0" i="1">
                                    <a:latin typeface="Cambria Math" panose="02040503050406030204" pitchFamily="18" charset="0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sv-SE" sz="1100" b="0" i="1">
                                    <a:latin typeface="Cambria Math" panose="02040503050406030204" pitchFamily="18" charset="0"/>
                                  </a:rPr>
                                  <m:t>𝐼𝑁</m:t>
                                </m:r>
                              </m:sub>
                            </m:sSub>
                            <m:r>
                              <a:rPr lang="sv-SE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sv-SE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sv-SE" sz="1100" b="0" i="1">
                                    <a:latin typeface="Cambria Math" panose="02040503050406030204" pitchFamily="18" charset="0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sv-SE" sz="1100" b="0" i="1">
                                    <a:latin typeface="Cambria Math" panose="02040503050406030204" pitchFamily="18" charset="0"/>
                                  </a:rPr>
                                  <m:t>𝑇𝑁</m:t>
                                </m:r>
                              </m:sub>
                            </m:sSub>
                          </m:e>
                        </m:d>
                      </m:e>
                      <m:sup>
                        <m:r>
                          <a:rPr lang="sv-SE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sv-S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sv-SE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v-S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sv-S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sv-S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r>
                          <a:rPr lang="sv-S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sSup>
                      <m:sSupPr>
                        <m:ctrlPr>
                          <a:rPr lang="sv-SE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sv-SE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sv-SE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sv-S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sv-S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𝐼𝑁</m:t>
                                </m:r>
                              </m:sub>
                            </m:sSub>
                            <m:r>
                              <a:rPr lang="sv-S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sv-S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sv-S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sv-S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𝐷𝐷</m:t>
                                </m:r>
                              </m:sub>
                            </m:sSub>
                            <m:r>
                              <a:rPr lang="sv-S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sv-S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sv-S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sv-S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𝑇𝑃</m:t>
                                </m:r>
                              </m:sub>
                            </m:sSub>
                          </m:e>
                        </m:d>
                      </m:e>
                      <m:sup>
                        <m:r>
                          <a:rPr lang="sv-S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sv-SE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3190874" y="5181599"/>
              <a:ext cx="2886075" cy="32028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sv-SE" sz="1100" b="0" i="0">
                  <a:latin typeface="Cambria Math" panose="02040503050406030204" pitchFamily="18" charset="0"/>
                </a:rPr>
                <a:t>𝑘_𝑁/2 </a:t>
              </a:r>
              <a:r>
                <a:rPr lang="sv-SE" sz="1100" i="0">
                  <a:latin typeface="Cambria Math" panose="02040503050406030204" pitchFamily="18" charset="0"/>
                </a:rPr>
                <a:t>(</a:t>
              </a:r>
              <a:r>
                <a:rPr lang="sv-SE" sz="1100" b="0" i="0">
                  <a:latin typeface="Cambria Math" panose="02040503050406030204" pitchFamily="18" charset="0"/>
                </a:rPr>
                <a:t>𝑉_𝐼𝑁−𝑉_𝑇𝑁 )^2=</a:t>
              </a:r>
              <a:r>
                <a:rPr lang="sv-S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𝑘_𝑃/2 </a:t>
              </a:r>
              <a:r>
                <a:rPr lang="sv-SE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sv-S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𝑉_𝐼𝑁−𝑉_𝐷𝐷−𝑉_𝑇𝑃 )^2</a:t>
              </a:r>
              <a:endParaRPr lang="sv-SE" sz="110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9525</xdr:rowOff>
    </xdr:from>
    <xdr:to>
      <xdr:col>8</xdr:col>
      <xdr:colOff>266700</xdr:colOff>
      <xdr:row>22</xdr:row>
      <xdr:rowOff>104775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19052</xdr:rowOff>
    </xdr:from>
    <xdr:to>
      <xdr:col>19</xdr:col>
      <xdr:colOff>600075</xdr:colOff>
      <xdr:row>20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9525</xdr:rowOff>
    </xdr:from>
    <xdr:to>
      <xdr:col>8</xdr:col>
      <xdr:colOff>266700</xdr:colOff>
      <xdr:row>43</xdr:row>
      <xdr:rowOff>152399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447676</xdr:colOff>
      <xdr:row>24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114299</xdr:rowOff>
    </xdr:from>
    <xdr:to>
      <xdr:col>7</xdr:col>
      <xdr:colOff>495301</xdr:colOff>
      <xdr:row>20</xdr:row>
      <xdr:rowOff>119796</xdr:rowOff>
    </xdr:to>
    <xdr:grpSp>
      <xdr:nvGrpSpPr>
        <xdr:cNvPr id="10" name="Group 9"/>
        <xdr:cNvGrpSpPr/>
      </xdr:nvGrpSpPr>
      <xdr:grpSpPr>
        <a:xfrm>
          <a:off x="847725" y="495299"/>
          <a:ext cx="3914776" cy="3434497"/>
          <a:chOff x="9839325" y="171450"/>
          <a:chExt cx="3914776" cy="3463072"/>
        </a:xfrm>
      </xdr:grpSpPr>
      <xdr:sp macro="" textlink="">
        <xdr:nvSpPr>
          <xdr:cNvPr id="9" name="Rectangle 8"/>
          <xdr:cNvSpPr/>
        </xdr:nvSpPr>
        <xdr:spPr>
          <a:xfrm>
            <a:off x="10810874" y="171450"/>
            <a:ext cx="1952625" cy="3453547"/>
          </a:xfrm>
          <a:prstGeom prst="rect">
            <a:avLst/>
          </a:prstGeom>
          <a:solidFill>
            <a:srgbClr val="C3D69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8" name="Right Triangle 7"/>
          <xdr:cNvSpPr/>
        </xdr:nvSpPr>
        <xdr:spPr>
          <a:xfrm rot="10800000" flipH="1">
            <a:off x="10813101" y="180975"/>
            <a:ext cx="1986895" cy="1741010"/>
          </a:xfrm>
          <a:prstGeom prst="rtTriangle">
            <a:avLst/>
          </a:prstGeom>
          <a:solidFill>
            <a:schemeClr val="tx2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4" name="Rectangle 3"/>
          <xdr:cNvSpPr/>
        </xdr:nvSpPr>
        <xdr:spPr>
          <a:xfrm>
            <a:off x="9839325" y="180975"/>
            <a:ext cx="973776" cy="3453547"/>
          </a:xfrm>
          <a:prstGeom prst="rect">
            <a:avLst/>
          </a:prstGeom>
          <a:solidFill>
            <a:srgbClr val="FF0000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12763501" y="180975"/>
            <a:ext cx="990600" cy="3453547"/>
          </a:xfrm>
          <a:prstGeom prst="rect">
            <a:avLst/>
          </a:prstGeom>
          <a:solidFill>
            <a:srgbClr val="FF0000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</xdr:txBody>
      </xdr:sp>
      <xdr:sp macro="" textlink="">
        <xdr:nvSpPr>
          <xdr:cNvPr id="7" name="Right Triangle 6"/>
          <xdr:cNvSpPr/>
        </xdr:nvSpPr>
        <xdr:spPr>
          <a:xfrm flipH="1">
            <a:off x="10791937" y="1881896"/>
            <a:ext cx="1978551" cy="1752626"/>
          </a:xfrm>
          <a:prstGeom prst="rtTriangle">
            <a:avLst/>
          </a:prstGeom>
          <a:solidFill>
            <a:schemeClr val="tx2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</xdr:grpSp>
    <xdr:clientData/>
  </xdr:twoCellAnchor>
  <xdr:twoCellAnchor>
    <xdr:from>
      <xdr:col>0</xdr:col>
      <xdr:colOff>0</xdr:colOff>
      <xdr:row>0</xdr:row>
      <xdr:rowOff>47625</xdr:rowOff>
    </xdr:from>
    <xdr:to>
      <xdr:col>8</xdr:col>
      <xdr:colOff>476250</xdr:colOff>
      <xdr:row>23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257038</xdr:colOff>
      <xdr:row>1</xdr:row>
      <xdr:rowOff>3</xdr:rowOff>
    </xdr:from>
    <xdr:to>
      <xdr:col>37</xdr:col>
      <xdr:colOff>397680</xdr:colOff>
      <xdr:row>19</xdr:row>
      <xdr:rowOff>25835</xdr:rowOff>
    </xdr:to>
    <xdr:sp macro="" textlink="">
      <xdr:nvSpPr>
        <xdr:cNvPr id="6" name="Freeform 5"/>
        <xdr:cNvSpPr/>
      </xdr:nvSpPr>
      <xdr:spPr>
        <a:xfrm>
          <a:off x="20983438" y="190503"/>
          <a:ext cx="1969442" cy="3454832"/>
        </a:xfrm>
        <a:custGeom>
          <a:avLst/>
          <a:gdLst>
            <a:gd name="connsiteX0" fmla="*/ 0 w 2181225"/>
            <a:gd name="connsiteY0" fmla="*/ 1828800 h 3400425"/>
            <a:gd name="connsiteX1" fmla="*/ 2181225 w 2181225"/>
            <a:gd name="connsiteY1" fmla="*/ 0 h 3400425"/>
            <a:gd name="connsiteX2" fmla="*/ 2181225 w 2181225"/>
            <a:gd name="connsiteY2" fmla="*/ 1581150 h 3400425"/>
            <a:gd name="connsiteX3" fmla="*/ 0 w 2181225"/>
            <a:gd name="connsiteY3" fmla="*/ 3400425 h 3400425"/>
            <a:gd name="connsiteX4" fmla="*/ 0 w 2181225"/>
            <a:gd name="connsiteY4" fmla="*/ 1828800 h 3400425"/>
            <a:gd name="connsiteX0" fmla="*/ 0 w 2190242"/>
            <a:gd name="connsiteY0" fmla="*/ 2224666 h 3400425"/>
            <a:gd name="connsiteX1" fmla="*/ 2190242 w 2190242"/>
            <a:gd name="connsiteY1" fmla="*/ 0 h 3400425"/>
            <a:gd name="connsiteX2" fmla="*/ 2190242 w 2190242"/>
            <a:gd name="connsiteY2" fmla="*/ 1581150 h 3400425"/>
            <a:gd name="connsiteX3" fmla="*/ 9017 w 2190242"/>
            <a:gd name="connsiteY3" fmla="*/ 3400425 h 3400425"/>
            <a:gd name="connsiteX4" fmla="*/ 0 w 2190242"/>
            <a:gd name="connsiteY4" fmla="*/ 2224666 h 3400425"/>
            <a:gd name="connsiteX0" fmla="*/ 0 w 2190242"/>
            <a:gd name="connsiteY0" fmla="*/ 2188678 h 3364437"/>
            <a:gd name="connsiteX1" fmla="*/ 2190242 w 2190242"/>
            <a:gd name="connsiteY1" fmla="*/ 0 h 3364437"/>
            <a:gd name="connsiteX2" fmla="*/ 2190242 w 2190242"/>
            <a:gd name="connsiteY2" fmla="*/ 1545162 h 3364437"/>
            <a:gd name="connsiteX3" fmla="*/ 9017 w 2190242"/>
            <a:gd name="connsiteY3" fmla="*/ 3364437 h 3364437"/>
            <a:gd name="connsiteX4" fmla="*/ 0 w 2190242"/>
            <a:gd name="connsiteY4" fmla="*/ 2188678 h 3364437"/>
            <a:gd name="connsiteX0" fmla="*/ 0 w 2190242"/>
            <a:gd name="connsiteY0" fmla="*/ 2188678 h 3364437"/>
            <a:gd name="connsiteX1" fmla="*/ 2190242 w 2190242"/>
            <a:gd name="connsiteY1" fmla="*/ 0 h 3364437"/>
            <a:gd name="connsiteX2" fmla="*/ 2190242 w 2190242"/>
            <a:gd name="connsiteY2" fmla="*/ 1257260 h 3364437"/>
            <a:gd name="connsiteX3" fmla="*/ 9017 w 2190242"/>
            <a:gd name="connsiteY3" fmla="*/ 3364437 h 3364437"/>
            <a:gd name="connsiteX4" fmla="*/ 0 w 2190242"/>
            <a:gd name="connsiteY4" fmla="*/ 2188678 h 3364437"/>
            <a:gd name="connsiteX0" fmla="*/ 0 w 2199259"/>
            <a:gd name="connsiteY0" fmla="*/ 2188678 h 3364437"/>
            <a:gd name="connsiteX1" fmla="*/ 2199259 w 2199259"/>
            <a:gd name="connsiteY1" fmla="*/ 0 h 3364437"/>
            <a:gd name="connsiteX2" fmla="*/ 2199259 w 2199259"/>
            <a:gd name="connsiteY2" fmla="*/ 1257260 h 3364437"/>
            <a:gd name="connsiteX3" fmla="*/ 18034 w 2199259"/>
            <a:gd name="connsiteY3" fmla="*/ 3364437 h 3364437"/>
            <a:gd name="connsiteX4" fmla="*/ 0 w 2199259"/>
            <a:gd name="connsiteY4" fmla="*/ 2188678 h 3364437"/>
            <a:gd name="connsiteX0" fmla="*/ 869 w 2182093"/>
            <a:gd name="connsiteY0" fmla="*/ 2188678 h 3364437"/>
            <a:gd name="connsiteX1" fmla="*/ 2182093 w 2182093"/>
            <a:gd name="connsiteY1" fmla="*/ 0 h 3364437"/>
            <a:gd name="connsiteX2" fmla="*/ 2182093 w 2182093"/>
            <a:gd name="connsiteY2" fmla="*/ 1257260 h 3364437"/>
            <a:gd name="connsiteX3" fmla="*/ 868 w 2182093"/>
            <a:gd name="connsiteY3" fmla="*/ 3364437 h 3364437"/>
            <a:gd name="connsiteX4" fmla="*/ 869 w 2182093"/>
            <a:gd name="connsiteY4" fmla="*/ 2188678 h 3364437"/>
            <a:gd name="connsiteX0" fmla="*/ 0 w 2190241"/>
            <a:gd name="connsiteY0" fmla="*/ 2188678 h 3364437"/>
            <a:gd name="connsiteX1" fmla="*/ 2190241 w 2190241"/>
            <a:gd name="connsiteY1" fmla="*/ 0 h 3364437"/>
            <a:gd name="connsiteX2" fmla="*/ 2190241 w 2190241"/>
            <a:gd name="connsiteY2" fmla="*/ 1257260 h 3364437"/>
            <a:gd name="connsiteX3" fmla="*/ 9016 w 2190241"/>
            <a:gd name="connsiteY3" fmla="*/ 3364437 h 3364437"/>
            <a:gd name="connsiteX4" fmla="*/ 0 w 2190241"/>
            <a:gd name="connsiteY4" fmla="*/ 2188678 h 3364437"/>
            <a:gd name="connsiteX0" fmla="*/ 903 w 2182089"/>
            <a:gd name="connsiteY0" fmla="*/ 2161973 h 3364437"/>
            <a:gd name="connsiteX1" fmla="*/ 2182089 w 2182089"/>
            <a:gd name="connsiteY1" fmla="*/ 0 h 3364437"/>
            <a:gd name="connsiteX2" fmla="*/ 2182089 w 2182089"/>
            <a:gd name="connsiteY2" fmla="*/ 1257260 h 3364437"/>
            <a:gd name="connsiteX3" fmla="*/ 864 w 2182089"/>
            <a:gd name="connsiteY3" fmla="*/ 3364437 h 3364437"/>
            <a:gd name="connsiteX4" fmla="*/ 903 w 2182089"/>
            <a:gd name="connsiteY4" fmla="*/ 2161973 h 3364437"/>
            <a:gd name="connsiteX0" fmla="*/ 903 w 2182089"/>
            <a:gd name="connsiteY0" fmla="*/ 2170875 h 3364437"/>
            <a:gd name="connsiteX1" fmla="*/ 2182089 w 2182089"/>
            <a:gd name="connsiteY1" fmla="*/ 0 h 3364437"/>
            <a:gd name="connsiteX2" fmla="*/ 2182089 w 2182089"/>
            <a:gd name="connsiteY2" fmla="*/ 1257260 h 3364437"/>
            <a:gd name="connsiteX3" fmla="*/ 864 w 2182089"/>
            <a:gd name="connsiteY3" fmla="*/ 3364437 h 3364437"/>
            <a:gd name="connsiteX4" fmla="*/ 903 w 2182089"/>
            <a:gd name="connsiteY4" fmla="*/ 2170875 h 3364437"/>
            <a:gd name="connsiteX0" fmla="*/ 903 w 2182089"/>
            <a:gd name="connsiteY0" fmla="*/ 2144170 h 3337732"/>
            <a:gd name="connsiteX1" fmla="*/ 2182089 w 2182089"/>
            <a:gd name="connsiteY1" fmla="*/ 0 h 3337732"/>
            <a:gd name="connsiteX2" fmla="*/ 2182089 w 2182089"/>
            <a:gd name="connsiteY2" fmla="*/ 1230555 h 3337732"/>
            <a:gd name="connsiteX3" fmla="*/ 864 w 2182089"/>
            <a:gd name="connsiteY3" fmla="*/ 3337732 h 3337732"/>
            <a:gd name="connsiteX4" fmla="*/ 903 w 2182089"/>
            <a:gd name="connsiteY4" fmla="*/ 2144170 h 3337732"/>
            <a:gd name="connsiteX0" fmla="*/ 0 w 2199228"/>
            <a:gd name="connsiteY0" fmla="*/ 2144170 h 3337732"/>
            <a:gd name="connsiteX1" fmla="*/ 2199228 w 2199228"/>
            <a:gd name="connsiteY1" fmla="*/ 0 h 3337732"/>
            <a:gd name="connsiteX2" fmla="*/ 2199228 w 2199228"/>
            <a:gd name="connsiteY2" fmla="*/ 1230555 h 3337732"/>
            <a:gd name="connsiteX3" fmla="*/ 18003 w 2199228"/>
            <a:gd name="connsiteY3" fmla="*/ 3337732 h 3337732"/>
            <a:gd name="connsiteX4" fmla="*/ 0 w 2199228"/>
            <a:gd name="connsiteY4" fmla="*/ 2144170 h 3337732"/>
            <a:gd name="connsiteX0" fmla="*/ 0 w 2190207"/>
            <a:gd name="connsiteY0" fmla="*/ 2153001 h 3337732"/>
            <a:gd name="connsiteX1" fmla="*/ 2190207 w 2190207"/>
            <a:gd name="connsiteY1" fmla="*/ 0 h 3337732"/>
            <a:gd name="connsiteX2" fmla="*/ 2190207 w 2190207"/>
            <a:gd name="connsiteY2" fmla="*/ 1230555 h 3337732"/>
            <a:gd name="connsiteX3" fmla="*/ 8982 w 2190207"/>
            <a:gd name="connsiteY3" fmla="*/ 3337732 h 3337732"/>
            <a:gd name="connsiteX4" fmla="*/ 0 w 2190207"/>
            <a:gd name="connsiteY4" fmla="*/ 2153001 h 3337732"/>
            <a:gd name="connsiteX0" fmla="*/ 0 w 2190207"/>
            <a:gd name="connsiteY0" fmla="*/ 1785176 h 3337732"/>
            <a:gd name="connsiteX1" fmla="*/ 2190207 w 2190207"/>
            <a:gd name="connsiteY1" fmla="*/ 0 h 3337732"/>
            <a:gd name="connsiteX2" fmla="*/ 2190207 w 2190207"/>
            <a:gd name="connsiteY2" fmla="*/ 1230555 h 3337732"/>
            <a:gd name="connsiteX3" fmla="*/ 8982 w 2190207"/>
            <a:gd name="connsiteY3" fmla="*/ 3337732 h 3337732"/>
            <a:gd name="connsiteX4" fmla="*/ 0 w 2190207"/>
            <a:gd name="connsiteY4" fmla="*/ 1785176 h 3337732"/>
            <a:gd name="connsiteX0" fmla="*/ 0 w 2199262"/>
            <a:gd name="connsiteY0" fmla="*/ 1785176 h 3337732"/>
            <a:gd name="connsiteX1" fmla="*/ 2190207 w 2199262"/>
            <a:gd name="connsiteY1" fmla="*/ 0 h 3337732"/>
            <a:gd name="connsiteX2" fmla="*/ 2199262 w 2199262"/>
            <a:gd name="connsiteY2" fmla="*/ 1554241 h 3337732"/>
            <a:gd name="connsiteX3" fmla="*/ 8982 w 2199262"/>
            <a:gd name="connsiteY3" fmla="*/ 3337732 h 3337732"/>
            <a:gd name="connsiteX4" fmla="*/ 0 w 2199262"/>
            <a:gd name="connsiteY4" fmla="*/ 1785176 h 3337732"/>
            <a:gd name="connsiteX0" fmla="*/ 0 w 2190606"/>
            <a:gd name="connsiteY0" fmla="*/ 1785176 h 3337732"/>
            <a:gd name="connsiteX1" fmla="*/ 2190207 w 2190606"/>
            <a:gd name="connsiteY1" fmla="*/ 0 h 3337732"/>
            <a:gd name="connsiteX2" fmla="*/ 2181078 w 2190606"/>
            <a:gd name="connsiteY2" fmla="*/ 1561598 h 3337732"/>
            <a:gd name="connsiteX3" fmla="*/ 8982 w 2190606"/>
            <a:gd name="connsiteY3" fmla="*/ 3337732 h 3337732"/>
            <a:gd name="connsiteX4" fmla="*/ 0 w 2190606"/>
            <a:gd name="connsiteY4" fmla="*/ 1785176 h 3337732"/>
            <a:gd name="connsiteX0" fmla="*/ 0 w 2199262"/>
            <a:gd name="connsiteY0" fmla="*/ 1785176 h 3337732"/>
            <a:gd name="connsiteX1" fmla="*/ 2190207 w 2199262"/>
            <a:gd name="connsiteY1" fmla="*/ 0 h 3337732"/>
            <a:gd name="connsiteX2" fmla="*/ 2199262 w 2199262"/>
            <a:gd name="connsiteY2" fmla="*/ 1561598 h 3337732"/>
            <a:gd name="connsiteX3" fmla="*/ 8982 w 2199262"/>
            <a:gd name="connsiteY3" fmla="*/ 3337732 h 3337732"/>
            <a:gd name="connsiteX4" fmla="*/ 0 w 2199262"/>
            <a:gd name="connsiteY4" fmla="*/ 1785176 h 3337732"/>
            <a:gd name="connsiteX0" fmla="*/ 0 w 2191073"/>
            <a:gd name="connsiteY0" fmla="*/ 1785176 h 3337732"/>
            <a:gd name="connsiteX1" fmla="*/ 2190207 w 2191073"/>
            <a:gd name="connsiteY1" fmla="*/ 0 h 3337732"/>
            <a:gd name="connsiteX2" fmla="*/ 2190170 w 2191073"/>
            <a:gd name="connsiteY2" fmla="*/ 1568954 h 3337732"/>
            <a:gd name="connsiteX3" fmla="*/ 8982 w 2191073"/>
            <a:gd name="connsiteY3" fmla="*/ 3337732 h 3337732"/>
            <a:gd name="connsiteX4" fmla="*/ 0 w 2191073"/>
            <a:gd name="connsiteY4" fmla="*/ 1785176 h 3337732"/>
            <a:gd name="connsiteX0" fmla="*/ 2611 w 2182785"/>
            <a:gd name="connsiteY0" fmla="*/ 1668984 h 3337732"/>
            <a:gd name="connsiteX1" fmla="*/ 2181919 w 2182785"/>
            <a:gd name="connsiteY1" fmla="*/ 0 h 3337732"/>
            <a:gd name="connsiteX2" fmla="*/ 2181882 w 2182785"/>
            <a:gd name="connsiteY2" fmla="*/ 1568954 h 3337732"/>
            <a:gd name="connsiteX3" fmla="*/ 694 w 2182785"/>
            <a:gd name="connsiteY3" fmla="*/ 3337732 h 3337732"/>
            <a:gd name="connsiteX4" fmla="*/ 2611 w 2182785"/>
            <a:gd name="connsiteY4" fmla="*/ 1668984 h 3337732"/>
            <a:gd name="connsiteX0" fmla="*/ 2611 w 2182280"/>
            <a:gd name="connsiteY0" fmla="*/ 1668984 h 3337732"/>
            <a:gd name="connsiteX1" fmla="*/ 2181919 w 2182280"/>
            <a:gd name="connsiteY1" fmla="*/ 0 h 3337732"/>
            <a:gd name="connsiteX2" fmla="*/ 2170983 w 2182280"/>
            <a:gd name="connsiteY2" fmla="*/ 1646415 h 3337732"/>
            <a:gd name="connsiteX3" fmla="*/ 694 w 2182280"/>
            <a:gd name="connsiteY3" fmla="*/ 3337732 h 3337732"/>
            <a:gd name="connsiteX4" fmla="*/ 2611 w 2182280"/>
            <a:gd name="connsiteY4" fmla="*/ 1668984 h 33377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182280" h="3337732">
              <a:moveTo>
                <a:pt x="2611" y="1668984"/>
              </a:moveTo>
              <a:cubicBezTo>
                <a:pt x="732680" y="1073925"/>
                <a:pt x="1451850" y="595059"/>
                <a:pt x="2181919" y="0"/>
              </a:cubicBezTo>
              <a:cubicBezTo>
                <a:pt x="2184937" y="518080"/>
                <a:pt x="2167965" y="1128335"/>
                <a:pt x="2170983" y="1646415"/>
              </a:cubicBezTo>
              <a:lnTo>
                <a:pt x="694" y="3337732"/>
              </a:lnTo>
              <a:cubicBezTo>
                <a:pt x="-2312" y="2945812"/>
                <a:pt x="5617" y="2060904"/>
                <a:pt x="2611" y="1668984"/>
              </a:cubicBezTo>
              <a:close/>
            </a:path>
          </a:pathLst>
        </a:custGeom>
        <a:solidFill>
          <a:srgbClr val="00B05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  <a:p>
          <a:pPr algn="l"/>
          <a:endParaRPr lang="sv-SE" sz="1100"/>
        </a:p>
        <a:p>
          <a:pPr algn="l"/>
          <a:endParaRPr lang="sv-SE" sz="1100"/>
        </a:p>
        <a:p>
          <a:pPr algn="l"/>
          <a:endParaRPr lang="sv-SE" sz="1100"/>
        </a:p>
        <a:p>
          <a:pPr algn="l"/>
          <a:endParaRPr lang="sv-SE" sz="1100"/>
        </a:p>
        <a:p>
          <a:pPr algn="l"/>
          <a:endParaRPr lang="sv-SE" sz="1100"/>
        </a:p>
        <a:p>
          <a:pPr algn="l"/>
          <a:endParaRPr lang="sv-SE" sz="1100"/>
        </a:p>
        <a:p>
          <a:pPr algn="l"/>
          <a:endParaRPr lang="sv-SE" sz="1100"/>
        </a:p>
        <a:p>
          <a:pPr algn="l"/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9</xdr:row>
      <xdr:rowOff>38100</xdr:rowOff>
    </xdr:from>
    <xdr:to>
      <xdr:col>7</xdr:col>
      <xdr:colOff>561976</xdr:colOff>
      <xdr:row>31</xdr:row>
      <xdr:rowOff>142876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257174</xdr:colOff>
      <xdr:row>0</xdr:row>
      <xdr:rowOff>250390</xdr:rowOff>
    </xdr:from>
    <xdr:to>
      <xdr:col>25</xdr:col>
      <xdr:colOff>390525</xdr:colOff>
      <xdr:row>17</xdr:row>
      <xdr:rowOff>104775</xdr:rowOff>
    </xdr:to>
    <xdr:grpSp>
      <xdr:nvGrpSpPr>
        <xdr:cNvPr id="3" name="Group 2"/>
        <xdr:cNvGrpSpPr/>
      </xdr:nvGrpSpPr>
      <xdr:grpSpPr>
        <a:xfrm>
          <a:off x="12115799" y="250390"/>
          <a:ext cx="3790951" cy="3283385"/>
          <a:chOff x="5867399" y="2345890"/>
          <a:chExt cx="4305751" cy="4321610"/>
        </a:xfrm>
      </xdr:grpSpPr>
      <xdr:sp macro="" textlink="">
        <xdr:nvSpPr>
          <xdr:cNvPr id="4" name="Rectangle 3"/>
          <xdr:cNvSpPr/>
        </xdr:nvSpPr>
        <xdr:spPr>
          <a:xfrm>
            <a:off x="5867399" y="2345890"/>
            <a:ext cx="1071029" cy="4319998"/>
          </a:xfrm>
          <a:prstGeom prst="rect">
            <a:avLst/>
          </a:prstGeom>
          <a:solidFill>
            <a:srgbClr val="FF0000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9123759" y="2345890"/>
            <a:ext cx="1049391" cy="4319998"/>
          </a:xfrm>
          <a:prstGeom prst="rect">
            <a:avLst/>
          </a:prstGeom>
          <a:solidFill>
            <a:srgbClr val="FF0000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</xdr:txBody>
      </xdr:sp>
      <xdr:sp macro="" textlink="">
        <xdr:nvSpPr>
          <xdr:cNvPr id="6" name="Freeform 5"/>
          <xdr:cNvSpPr/>
        </xdr:nvSpPr>
        <xdr:spPr>
          <a:xfrm>
            <a:off x="6946305" y="2345894"/>
            <a:ext cx="2166134" cy="4321606"/>
          </a:xfrm>
          <a:custGeom>
            <a:avLst/>
            <a:gdLst>
              <a:gd name="connsiteX0" fmla="*/ 0 w 2181225"/>
              <a:gd name="connsiteY0" fmla="*/ 1828800 h 3400425"/>
              <a:gd name="connsiteX1" fmla="*/ 2181225 w 2181225"/>
              <a:gd name="connsiteY1" fmla="*/ 0 h 3400425"/>
              <a:gd name="connsiteX2" fmla="*/ 2181225 w 2181225"/>
              <a:gd name="connsiteY2" fmla="*/ 1581150 h 3400425"/>
              <a:gd name="connsiteX3" fmla="*/ 0 w 2181225"/>
              <a:gd name="connsiteY3" fmla="*/ 3400425 h 3400425"/>
              <a:gd name="connsiteX4" fmla="*/ 0 w 2181225"/>
              <a:gd name="connsiteY4" fmla="*/ 1828800 h 3400425"/>
              <a:gd name="connsiteX0" fmla="*/ 0 w 2190242"/>
              <a:gd name="connsiteY0" fmla="*/ 2224666 h 3400425"/>
              <a:gd name="connsiteX1" fmla="*/ 2190242 w 2190242"/>
              <a:gd name="connsiteY1" fmla="*/ 0 h 3400425"/>
              <a:gd name="connsiteX2" fmla="*/ 2190242 w 2190242"/>
              <a:gd name="connsiteY2" fmla="*/ 1581150 h 3400425"/>
              <a:gd name="connsiteX3" fmla="*/ 9017 w 2190242"/>
              <a:gd name="connsiteY3" fmla="*/ 3400425 h 3400425"/>
              <a:gd name="connsiteX4" fmla="*/ 0 w 2190242"/>
              <a:gd name="connsiteY4" fmla="*/ 2224666 h 3400425"/>
              <a:gd name="connsiteX0" fmla="*/ 0 w 2190242"/>
              <a:gd name="connsiteY0" fmla="*/ 2188678 h 3364437"/>
              <a:gd name="connsiteX1" fmla="*/ 2190242 w 2190242"/>
              <a:gd name="connsiteY1" fmla="*/ 0 h 3364437"/>
              <a:gd name="connsiteX2" fmla="*/ 2190242 w 2190242"/>
              <a:gd name="connsiteY2" fmla="*/ 1545162 h 3364437"/>
              <a:gd name="connsiteX3" fmla="*/ 9017 w 2190242"/>
              <a:gd name="connsiteY3" fmla="*/ 3364437 h 3364437"/>
              <a:gd name="connsiteX4" fmla="*/ 0 w 2190242"/>
              <a:gd name="connsiteY4" fmla="*/ 2188678 h 3364437"/>
              <a:gd name="connsiteX0" fmla="*/ 0 w 2190242"/>
              <a:gd name="connsiteY0" fmla="*/ 2188678 h 3364437"/>
              <a:gd name="connsiteX1" fmla="*/ 2190242 w 2190242"/>
              <a:gd name="connsiteY1" fmla="*/ 0 h 3364437"/>
              <a:gd name="connsiteX2" fmla="*/ 2190242 w 2190242"/>
              <a:gd name="connsiteY2" fmla="*/ 1257260 h 3364437"/>
              <a:gd name="connsiteX3" fmla="*/ 9017 w 2190242"/>
              <a:gd name="connsiteY3" fmla="*/ 3364437 h 3364437"/>
              <a:gd name="connsiteX4" fmla="*/ 0 w 2190242"/>
              <a:gd name="connsiteY4" fmla="*/ 2188678 h 3364437"/>
              <a:gd name="connsiteX0" fmla="*/ 0 w 2199259"/>
              <a:gd name="connsiteY0" fmla="*/ 2188678 h 3364437"/>
              <a:gd name="connsiteX1" fmla="*/ 2199259 w 2199259"/>
              <a:gd name="connsiteY1" fmla="*/ 0 h 3364437"/>
              <a:gd name="connsiteX2" fmla="*/ 2199259 w 2199259"/>
              <a:gd name="connsiteY2" fmla="*/ 1257260 h 3364437"/>
              <a:gd name="connsiteX3" fmla="*/ 18034 w 2199259"/>
              <a:gd name="connsiteY3" fmla="*/ 3364437 h 3364437"/>
              <a:gd name="connsiteX4" fmla="*/ 0 w 2199259"/>
              <a:gd name="connsiteY4" fmla="*/ 2188678 h 3364437"/>
              <a:gd name="connsiteX0" fmla="*/ 869 w 2182093"/>
              <a:gd name="connsiteY0" fmla="*/ 2188678 h 3364437"/>
              <a:gd name="connsiteX1" fmla="*/ 2182093 w 2182093"/>
              <a:gd name="connsiteY1" fmla="*/ 0 h 3364437"/>
              <a:gd name="connsiteX2" fmla="*/ 2182093 w 2182093"/>
              <a:gd name="connsiteY2" fmla="*/ 1257260 h 3364437"/>
              <a:gd name="connsiteX3" fmla="*/ 868 w 2182093"/>
              <a:gd name="connsiteY3" fmla="*/ 3364437 h 3364437"/>
              <a:gd name="connsiteX4" fmla="*/ 869 w 2182093"/>
              <a:gd name="connsiteY4" fmla="*/ 2188678 h 3364437"/>
              <a:gd name="connsiteX0" fmla="*/ 0 w 2190241"/>
              <a:gd name="connsiteY0" fmla="*/ 2188678 h 3364437"/>
              <a:gd name="connsiteX1" fmla="*/ 2190241 w 2190241"/>
              <a:gd name="connsiteY1" fmla="*/ 0 h 3364437"/>
              <a:gd name="connsiteX2" fmla="*/ 2190241 w 2190241"/>
              <a:gd name="connsiteY2" fmla="*/ 1257260 h 3364437"/>
              <a:gd name="connsiteX3" fmla="*/ 9016 w 2190241"/>
              <a:gd name="connsiteY3" fmla="*/ 3364437 h 3364437"/>
              <a:gd name="connsiteX4" fmla="*/ 0 w 2190241"/>
              <a:gd name="connsiteY4" fmla="*/ 2188678 h 3364437"/>
              <a:gd name="connsiteX0" fmla="*/ 903 w 2182089"/>
              <a:gd name="connsiteY0" fmla="*/ 2161973 h 3364437"/>
              <a:gd name="connsiteX1" fmla="*/ 2182089 w 2182089"/>
              <a:gd name="connsiteY1" fmla="*/ 0 h 3364437"/>
              <a:gd name="connsiteX2" fmla="*/ 2182089 w 2182089"/>
              <a:gd name="connsiteY2" fmla="*/ 1257260 h 3364437"/>
              <a:gd name="connsiteX3" fmla="*/ 864 w 2182089"/>
              <a:gd name="connsiteY3" fmla="*/ 3364437 h 3364437"/>
              <a:gd name="connsiteX4" fmla="*/ 903 w 2182089"/>
              <a:gd name="connsiteY4" fmla="*/ 2161973 h 3364437"/>
              <a:gd name="connsiteX0" fmla="*/ 903 w 2182089"/>
              <a:gd name="connsiteY0" fmla="*/ 2170875 h 3364437"/>
              <a:gd name="connsiteX1" fmla="*/ 2182089 w 2182089"/>
              <a:gd name="connsiteY1" fmla="*/ 0 h 3364437"/>
              <a:gd name="connsiteX2" fmla="*/ 2182089 w 2182089"/>
              <a:gd name="connsiteY2" fmla="*/ 1257260 h 3364437"/>
              <a:gd name="connsiteX3" fmla="*/ 864 w 2182089"/>
              <a:gd name="connsiteY3" fmla="*/ 3364437 h 3364437"/>
              <a:gd name="connsiteX4" fmla="*/ 903 w 2182089"/>
              <a:gd name="connsiteY4" fmla="*/ 2170875 h 3364437"/>
              <a:gd name="connsiteX0" fmla="*/ 903 w 2182089"/>
              <a:gd name="connsiteY0" fmla="*/ 2144170 h 3337732"/>
              <a:gd name="connsiteX1" fmla="*/ 2182089 w 2182089"/>
              <a:gd name="connsiteY1" fmla="*/ 0 h 3337732"/>
              <a:gd name="connsiteX2" fmla="*/ 2182089 w 2182089"/>
              <a:gd name="connsiteY2" fmla="*/ 1230555 h 3337732"/>
              <a:gd name="connsiteX3" fmla="*/ 864 w 2182089"/>
              <a:gd name="connsiteY3" fmla="*/ 3337732 h 3337732"/>
              <a:gd name="connsiteX4" fmla="*/ 903 w 2182089"/>
              <a:gd name="connsiteY4" fmla="*/ 2144170 h 3337732"/>
              <a:gd name="connsiteX0" fmla="*/ 0 w 2199228"/>
              <a:gd name="connsiteY0" fmla="*/ 2144170 h 3337732"/>
              <a:gd name="connsiteX1" fmla="*/ 2199228 w 2199228"/>
              <a:gd name="connsiteY1" fmla="*/ 0 h 3337732"/>
              <a:gd name="connsiteX2" fmla="*/ 2199228 w 2199228"/>
              <a:gd name="connsiteY2" fmla="*/ 1230555 h 3337732"/>
              <a:gd name="connsiteX3" fmla="*/ 18003 w 2199228"/>
              <a:gd name="connsiteY3" fmla="*/ 3337732 h 3337732"/>
              <a:gd name="connsiteX4" fmla="*/ 0 w 2199228"/>
              <a:gd name="connsiteY4" fmla="*/ 2144170 h 3337732"/>
              <a:gd name="connsiteX0" fmla="*/ 0 w 2190207"/>
              <a:gd name="connsiteY0" fmla="*/ 2153001 h 3337732"/>
              <a:gd name="connsiteX1" fmla="*/ 2190207 w 2190207"/>
              <a:gd name="connsiteY1" fmla="*/ 0 h 3337732"/>
              <a:gd name="connsiteX2" fmla="*/ 2190207 w 2190207"/>
              <a:gd name="connsiteY2" fmla="*/ 1230555 h 3337732"/>
              <a:gd name="connsiteX3" fmla="*/ 8982 w 2190207"/>
              <a:gd name="connsiteY3" fmla="*/ 3337732 h 3337732"/>
              <a:gd name="connsiteX4" fmla="*/ 0 w 2190207"/>
              <a:gd name="connsiteY4" fmla="*/ 2153001 h 3337732"/>
              <a:gd name="connsiteX0" fmla="*/ 0 w 2190207"/>
              <a:gd name="connsiteY0" fmla="*/ 1785176 h 3337732"/>
              <a:gd name="connsiteX1" fmla="*/ 2190207 w 2190207"/>
              <a:gd name="connsiteY1" fmla="*/ 0 h 3337732"/>
              <a:gd name="connsiteX2" fmla="*/ 2190207 w 2190207"/>
              <a:gd name="connsiteY2" fmla="*/ 1230555 h 3337732"/>
              <a:gd name="connsiteX3" fmla="*/ 8982 w 2190207"/>
              <a:gd name="connsiteY3" fmla="*/ 3337732 h 3337732"/>
              <a:gd name="connsiteX4" fmla="*/ 0 w 2190207"/>
              <a:gd name="connsiteY4" fmla="*/ 1785176 h 3337732"/>
              <a:gd name="connsiteX0" fmla="*/ 0 w 2199262"/>
              <a:gd name="connsiteY0" fmla="*/ 1785176 h 3337732"/>
              <a:gd name="connsiteX1" fmla="*/ 2190207 w 2199262"/>
              <a:gd name="connsiteY1" fmla="*/ 0 h 3337732"/>
              <a:gd name="connsiteX2" fmla="*/ 2199262 w 2199262"/>
              <a:gd name="connsiteY2" fmla="*/ 1554241 h 3337732"/>
              <a:gd name="connsiteX3" fmla="*/ 8982 w 2199262"/>
              <a:gd name="connsiteY3" fmla="*/ 3337732 h 3337732"/>
              <a:gd name="connsiteX4" fmla="*/ 0 w 2199262"/>
              <a:gd name="connsiteY4" fmla="*/ 1785176 h 3337732"/>
              <a:gd name="connsiteX0" fmla="*/ 0 w 2190606"/>
              <a:gd name="connsiteY0" fmla="*/ 1785176 h 3337732"/>
              <a:gd name="connsiteX1" fmla="*/ 2190207 w 2190606"/>
              <a:gd name="connsiteY1" fmla="*/ 0 h 3337732"/>
              <a:gd name="connsiteX2" fmla="*/ 2181078 w 2190606"/>
              <a:gd name="connsiteY2" fmla="*/ 1561598 h 3337732"/>
              <a:gd name="connsiteX3" fmla="*/ 8982 w 2190606"/>
              <a:gd name="connsiteY3" fmla="*/ 3337732 h 3337732"/>
              <a:gd name="connsiteX4" fmla="*/ 0 w 2190606"/>
              <a:gd name="connsiteY4" fmla="*/ 1785176 h 3337732"/>
              <a:gd name="connsiteX0" fmla="*/ 0 w 2199262"/>
              <a:gd name="connsiteY0" fmla="*/ 1785176 h 3337732"/>
              <a:gd name="connsiteX1" fmla="*/ 2190207 w 2199262"/>
              <a:gd name="connsiteY1" fmla="*/ 0 h 3337732"/>
              <a:gd name="connsiteX2" fmla="*/ 2199262 w 2199262"/>
              <a:gd name="connsiteY2" fmla="*/ 1561598 h 3337732"/>
              <a:gd name="connsiteX3" fmla="*/ 8982 w 2199262"/>
              <a:gd name="connsiteY3" fmla="*/ 3337732 h 3337732"/>
              <a:gd name="connsiteX4" fmla="*/ 0 w 2199262"/>
              <a:gd name="connsiteY4" fmla="*/ 1785176 h 3337732"/>
              <a:gd name="connsiteX0" fmla="*/ 0 w 2191073"/>
              <a:gd name="connsiteY0" fmla="*/ 1785176 h 3337732"/>
              <a:gd name="connsiteX1" fmla="*/ 2190207 w 2191073"/>
              <a:gd name="connsiteY1" fmla="*/ 0 h 3337732"/>
              <a:gd name="connsiteX2" fmla="*/ 2190170 w 2191073"/>
              <a:gd name="connsiteY2" fmla="*/ 1568954 h 3337732"/>
              <a:gd name="connsiteX3" fmla="*/ 8982 w 2191073"/>
              <a:gd name="connsiteY3" fmla="*/ 3337732 h 3337732"/>
              <a:gd name="connsiteX4" fmla="*/ 0 w 2191073"/>
              <a:gd name="connsiteY4" fmla="*/ 1785176 h 3337732"/>
              <a:gd name="connsiteX0" fmla="*/ 2611 w 2182785"/>
              <a:gd name="connsiteY0" fmla="*/ 1668984 h 3337732"/>
              <a:gd name="connsiteX1" fmla="*/ 2181919 w 2182785"/>
              <a:gd name="connsiteY1" fmla="*/ 0 h 3337732"/>
              <a:gd name="connsiteX2" fmla="*/ 2181882 w 2182785"/>
              <a:gd name="connsiteY2" fmla="*/ 1568954 h 3337732"/>
              <a:gd name="connsiteX3" fmla="*/ 694 w 2182785"/>
              <a:gd name="connsiteY3" fmla="*/ 3337732 h 3337732"/>
              <a:gd name="connsiteX4" fmla="*/ 2611 w 2182785"/>
              <a:gd name="connsiteY4" fmla="*/ 1668984 h 3337732"/>
              <a:gd name="connsiteX0" fmla="*/ 2611 w 2182280"/>
              <a:gd name="connsiteY0" fmla="*/ 1668984 h 3337732"/>
              <a:gd name="connsiteX1" fmla="*/ 2181919 w 2182280"/>
              <a:gd name="connsiteY1" fmla="*/ 0 h 3337732"/>
              <a:gd name="connsiteX2" fmla="*/ 2170983 w 2182280"/>
              <a:gd name="connsiteY2" fmla="*/ 1646415 h 3337732"/>
              <a:gd name="connsiteX3" fmla="*/ 694 w 2182280"/>
              <a:gd name="connsiteY3" fmla="*/ 3337732 h 3337732"/>
              <a:gd name="connsiteX4" fmla="*/ 2611 w 2182280"/>
              <a:gd name="connsiteY4" fmla="*/ 1668984 h 33377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182280" h="3337732">
                <a:moveTo>
                  <a:pt x="2611" y="1668984"/>
                </a:moveTo>
                <a:cubicBezTo>
                  <a:pt x="732680" y="1073925"/>
                  <a:pt x="1451850" y="595059"/>
                  <a:pt x="2181919" y="0"/>
                </a:cubicBezTo>
                <a:cubicBezTo>
                  <a:pt x="2184937" y="518080"/>
                  <a:pt x="2167965" y="1128335"/>
                  <a:pt x="2170983" y="1646415"/>
                </a:cubicBezTo>
                <a:lnTo>
                  <a:pt x="694" y="3337732"/>
                </a:lnTo>
                <a:cubicBezTo>
                  <a:pt x="-2312" y="2945812"/>
                  <a:pt x="5617" y="2060904"/>
                  <a:pt x="2611" y="1668984"/>
                </a:cubicBezTo>
                <a:close/>
              </a:path>
            </a:pathLst>
          </a:custGeom>
          <a:solidFill>
            <a:srgbClr val="00B050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endParaRPr lang="sv-SE" sz="1100"/>
          </a:p>
        </xdr:txBody>
      </xdr:sp>
      <xdr:sp macro="" textlink="">
        <xdr:nvSpPr>
          <xdr:cNvPr id="7" name="Right Triangle 6"/>
          <xdr:cNvSpPr/>
        </xdr:nvSpPr>
        <xdr:spPr>
          <a:xfrm flipH="1">
            <a:off x="6915150" y="4473550"/>
            <a:ext cx="2176153" cy="2192338"/>
          </a:xfrm>
          <a:prstGeom prst="rtTriangle">
            <a:avLst/>
          </a:prstGeom>
          <a:solidFill>
            <a:srgbClr val="3399FF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8" name="Right Triangle 7"/>
          <xdr:cNvSpPr/>
        </xdr:nvSpPr>
        <xdr:spPr>
          <a:xfrm rot="10800000" flipH="1">
            <a:off x="6938428" y="2345890"/>
            <a:ext cx="2185330" cy="2177807"/>
          </a:xfrm>
          <a:prstGeom prst="rtTriangle">
            <a:avLst/>
          </a:prstGeom>
          <a:solidFill>
            <a:srgbClr val="3399FF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</xdr:grpSp>
    <xdr:clientData/>
  </xdr:twoCellAnchor>
  <xdr:twoCellAnchor>
    <xdr:from>
      <xdr:col>8</xdr:col>
      <xdr:colOff>104775</xdr:colOff>
      <xdr:row>9</xdr:row>
      <xdr:rowOff>9525</xdr:rowOff>
    </xdr:from>
    <xdr:to>
      <xdr:col>16</xdr:col>
      <xdr:colOff>581024</xdr:colOff>
      <xdr:row>32</xdr:row>
      <xdr:rowOff>104775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180975</xdr:colOff>
      <xdr:row>45</xdr:row>
      <xdr:rowOff>180974</xdr:rowOff>
    </xdr:from>
    <xdr:to>
      <xdr:col>17</xdr:col>
      <xdr:colOff>314326</xdr:colOff>
      <xdr:row>70</xdr:row>
      <xdr:rowOff>19049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452437</xdr:colOff>
      <xdr:row>45</xdr:row>
      <xdr:rowOff>123825</xdr:rowOff>
    </xdr:from>
    <xdr:to>
      <xdr:col>16</xdr:col>
      <xdr:colOff>157162</xdr:colOff>
      <xdr:row>60</xdr:row>
      <xdr:rowOff>9525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51</xdr:row>
      <xdr:rowOff>66675</xdr:rowOff>
    </xdr:from>
    <xdr:to>
      <xdr:col>18</xdr:col>
      <xdr:colOff>171450</xdr:colOff>
      <xdr:row>75</xdr:row>
      <xdr:rowOff>95250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2" workbookViewId="0">
      <selection activeCell="K26" sqref="K26"/>
    </sheetView>
  </sheetViews>
  <sheetFormatPr defaultRowHeight="15" x14ac:dyDescent="0.25"/>
  <cols>
    <col min="11" max="11" width="14.7109375" customWidth="1"/>
    <col min="16" max="16" width="12.28515625" customWidth="1"/>
    <col min="17" max="17" width="9.28515625" customWidth="1"/>
    <col min="18" max="18" width="5.85546875" customWidth="1"/>
  </cols>
  <sheetData>
    <row r="1" spans="1:19" ht="30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6" t="s">
        <v>44</v>
      </c>
      <c r="R1" s="37"/>
      <c r="S1" s="37"/>
    </row>
    <row r="2" spans="1:19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2" t="s">
        <v>48</v>
      </c>
      <c r="R2" s="32">
        <v>0.751</v>
      </c>
      <c r="S2" s="33" t="s">
        <v>2</v>
      </c>
    </row>
    <row r="3" spans="1:19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t="s">
        <v>54</v>
      </c>
      <c r="R3">
        <v>400</v>
      </c>
      <c r="S3" t="s">
        <v>17</v>
      </c>
    </row>
    <row r="4" spans="1:19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t="s">
        <v>55</v>
      </c>
      <c r="R4">
        <v>200</v>
      </c>
      <c r="S4" t="s">
        <v>17</v>
      </c>
    </row>
    <row r="5" spans="1:19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9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1" t="s">
        <v>57</v>
      </c>
    </row>
    <row r="7" spans="1:19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1" t="s">
        <v>58</v>
      </c>
      <c r="R7" s="1"/>
      <c r="S7" s="1"/>
    </row>
    <row r="8" spans="1:19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1" t="s">
        <v>59</v>
      </c>
    </row>
    <row r="9" spans="1:19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9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1" t="s">
        <v>56</v>
      </c>
    </row>
    <row r="11" spans="1:19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t="s">
        <v>52</v>
      </c>
      <c r="R11">
        <f>kn/kp</f>
        <v>2</v>
      </c>
    </row>
    <row r="12" spans="1:19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1" t="s">
        <v>60</v>
      </c>
    </row>
    <row r="13" spans="1:19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t="s">
        <v>12</v>
      </c>
      <c r="R13">
        <f>(VDD+VTP+SQRT(kn/kp)*VTN)/(1+SQRT(kn/kp))</f>
        <v>0.45710678118654752</v>
      </c>
      <c r="S13" t="s">
        <v>2</v>
      </c>
    </row>
    <row r="14" spans="1:19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9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1" t="s">
        <v>53</v>
      </c>
    </row>
    <row r="16" spans="1:19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t="s">
        <v>24</v>
      </c>
      <c r="R16" s="35">
        <f>IF(VIN0&lt;VTN,VDD,IF(VIN0&lt;VSW,VIN0-VTP+SQRT((VIN0-VDD-VTP)^2-x0*(VIN0-VTN)^2),IF(VIN0=VSW,VSW-VTP,IF(VIN0&lt;VDD+VTP,VIN0-VTN-SQRT((VIN0-VTN)^2-1/x0*(VIN0-VDD-VTP)^2),0))))</f>
        <v>0</v>
      </c>
      <c r="S16" t="s">
        <v>2</v>
      </c>
    </row>
    <row r="17" spans="1:19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t="s">
        <v>24</v>
      </c>
      <c r="R17" s="35">
        <f>IF(VIN0&lt;VTN,VDD,IF(VIN0&lt;VSW,VIN0-VTP+SQRT((VIN0-VDD-VTP)^2-x0*(VIN0-VTN)^2),IF(VIN0=VSW,VSW,IF(VIN0&lt;VDD+VTP,VIN0-VTN-SQRT((VIN0-VTN)^2-1/x0*(VIN0-VDD-VTP)^2),0))))</f>
        <v>0</v>
      </c>
      <c r="S17" t="s">
        <v>2</v>
      </c>
    </row>
    <row r="18" spans="1:19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t="s">
        <v>24</v>
      </c>
      <c r="R18" s="35">
        <f>IF(VIN0&lt;VTN,VDD,IF(VIN0&lt;VSW,VIN0-VTP+SQRT((VIN0-VDD-VTP)^2-x0*(VIN0-VTN)^2),IF(VIN0=VSW,VSW-VTN,IF(VIN0&lt;VDD+VTP,VIN0-VTN-SQRT((VIN0-VTN)^2-1/x0*(VIN0-VDD-VTP)^2),0))))</f>
        <v>0</v>
      </c>
      <c r="S18" t="s">
        <v>2</v>
      </c>
    </row>
    <row r="19" spans="1:19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9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9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9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9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19" x14ac:dyDescent="0.25">
      <c r="A24" s="1" t="s">
        <v>43</v>
      </c>
      <c r="K24" s="1" t="s">
        <v>49</v>
      </c>
    </row>
    <row r="25" spans="1:19" x14ac:dyDescent="0.25">
      <c r="A25" t="s">
        <v>45</v>
      </c>
      <c r="K25" t="s">
        <v>50</v>
      </c>
    </row>
    <row r="26" spans="1:19" x14ac:dyDescent="0.25">
      <c r="A26" t="s">
        <v>46</v>
      </c>
      <c r="K26" s="1" t="s">
        <v>62</v>
      </c>
    </row>
    <row r="27" spans="1:19" x14ac:dyDescent="0.25">
      <c r="B27" t="s">
        <v>47</v>
      </c>
    </row>
    <row r="30" spans="1:19" x14ac:dyDescent="0.25">
      <c r="K30" s="1"/>
    </row>
    <row r="31" spans="1:19" x14ac:dyDescent="0.25">
      <c r="K31" s="1"/>
    </row>
  </sheetData>
  <mergeCells count="1">
    <mergeCell ref="Q1:S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8:P27"/>
  <sheetViews>
    <sheetView tabSelected="1" topLeftCell="A17" workbookViewId="0">
      <selection activeCell="J28" sqref="J28"/>
    </sheetView>
  </sheetViews>
  <sheetFormatPr defaultRowHeight="15" x14ac:dyDescent="0.25"/>
  <cols>
    <col min="2" max="2" width="13.42578125" bestFit="1" customWidth="1"/>
  </cols>
  <sheetData>
    <row r="8" spans="10:12" x14ac:dyDescent="0.25">
      <c r="J8" s="1" t="s">
        <v>35</v>
      </c>
    </row>
    <row r="9" spans="10:12" x14ac:dyDescent="0.25">
      <c r="J9" t="s">
        <v>32</v>
      </c>
      <c r="K9">
        <f>VIL0</f>
        <v>0.38245553203367588</v>
      </c>
      <c r="L9" t="s">
        <v>2</v>
      </c>
    </row>
    <row r="10" spans="10:12" x14ac:dyDescent="0.25">
      <c r="J10" t="s">
        <v>33</v>
      </c>
      <c r="K10">
        <f>VIH0</f>
        <v>0.5059289460184544</v>
      </c>
      <c r="L10" t="s">
        <v>2</v>
      </c>
    </row>
    <row r="11" spans="10:12" x14ac:dyDescent="0.25">
      <c r="J11" t="s">
        <v>36</v>
      </c>
      <c r="K11">
        <f>VOH</f>
        <v>0.94868329805051377</v>
      </c>
      <c r="L11" t="s">
        <v>2</v>
      </c>
    </row>
    <row r="12" spans="10:12" x14ac:dyDescent="0.25">
      <c r="J12" t="s">
        <v>37</v>
      </c>
      <c r="K12">
        <f>VOL</f>
        <v>6.6946709513840907E-2</v>
      </c>
      <c r="L12" t="s">
        <v>2</v>
      </c>
    </row>
    <row r="22" spans="10:16" x14ac:dyDescent="0.25">
      <c r="J22" s="1" t="s">
        <v>34</v>
      </c>
      <c r="P22" t="s">
        <v>63</v>
      </c>
    </row>
    <row r="23" spans="10:16" x14ac:dyDescent="0.25">
      <c r="J23" s="8" t="s">
        <v>30</v>
      </c>
      <c r="K23" s="9"/>
      <c r="L23" s="10"/>
      <c r="P23" t="s">
        <v>65</v>
      </c>
    </row>
    <row r="24" spans="10:16" x14ac:dyDescent="0.25">
      <c r="J24" s="2" t="s">
        <v>28</v>
      </c>
      <c r="K24" s="6">
        <v>0.7</v>
      </c>
      <c r="L24" s="3" t="s">
        <v>2</v>
      </c>
      <c r="P24" t="s">
        <v>64</v>
      </c>
    </row>
    <row r="25" spans="10:16" x14ac:dyDescent="0.25">
      <c r="J25" s="4" t="s">
        <v>29</v>
      </c>
      <c r="K25" s="7">
        <v>0.2</v>
      </c>
      <c r="L25" s="5" t="s">
        <v>2</v>
      </c>
      <c r="P25" t="s">
        <v>66</v>
      </c>
    </row>
    <row r="26" spans="10:16" x14ac:dyDescent="0.25">
      <c r="J26" s="59" t="s">
        <v>67</v>
      </c>
    </row>
    <row r="27" spans="10:16" x14ac:dyDescent="0.25">
      <c r="J27" s="59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:L10"/>
  <sheetViews>
    <sheetView workbookViewId="0">
      <selection activeCell="K3" sqref="K3"/>
    </sheetView>
  </sheetViews>
  <sheetFormatPr defaultRowHeight="15" x14ac:dyDescent="0.25"/>
  <sheetData>
    <row r="2" spans="10:12" x14ac:dyDescent="0.25">
      <c r="J2" s="1" t="s">
        <v>35</v>
      </c>
    </row>
    <row r="3" spans="10:12" x14ac:dyDescent="0.25">
      <c r="J3" t="s">
        <v>32</v>
      </c>
      <c r="K3">
        <f>IF(x0=1,(5*VTN+3*(VDD+VTP))/8,VIL0)</f>
        <v>0.38245553203367588</v>
      </c>
      <c r="L3" t="s">
        <v>2</v>
      </c>
    </row>
    <row r="4" spans="10:12" x14ac:dyDescent="0.25">
      <c r="J4" t="s">
        <v>33</v>
      </c>
      <c r="K4">
        <f>IF(x0=1,(5*(VDD+VTP)+3*VTN)/8,VIH0)</f>
        <v>0.5059289460184544</v>
      </c>
      <c r="L4" t="s">
        <v>2</v>
      </c>
    </row>
    <row r="5" spans="10:12" x14ac:dyDescent="0.25">
      <c r="J5" t="s">
        <v>36</v>
      </c>
      <c r="K5">
        <f>IF(x0=1,VD-(VDD+VTP-VTN)/8,VOH)</f>
        <v>0.94868329805051377</v>
      </c>
      <c r="L5" t="s">
        <v>2</v>
      </c>
    </row>
    <row r="6" spans="10:12" x14ac:dyDescent="0.25">
      <c r="J6" t="s">
        <v>37</v>
      </c>
      <c r="K6">
        <f>IF(x0=1,(VDD+VTP-VTN)/8,VOL)</f>
        <v>6.6946709513840907E-2</v>
      </c>
      <c r="L6" t="s">
        <v>2</v>
      </c>
    </row>
    <row r="8" spans="10:12" x14ac:dyDescent="0.25">
      <c r="J8" t="s">
        <v>38</v>
      </c>
    </row>
    <row r="9" spans="10:12" x14ac:dyDescent="0.25">
      <c r="J9" t="s">
        <v>10</v>
      </c>
    </row>
    <row r="10" spans="10:12" x14ac:dyDescent="0.25">
      <c r="J10" t="s">
        <v>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M10" sqref="M10:M17"/>
    </sheetView>
  </sheetViews>
  <sheetFormatPr defaultRowHeight="15" x14ac:dyDescent="0.25"/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11" t="s">
        <v>5</v>
      </c>
      <c r="K1" s="11" t="s">
        <v>6</v>
      </c>
      <c r="L1" s="11" t="s">
        <v>39</v>
      </c>
      <c r="M1" s="11" t="s">
        <v>40</v>
      </c>
    </row>
    <row r="2" spans="1:13" x14ac:dyDescent="0.25">
      <c r="A2" s="34"/>
      <c r="B2" s="34"/>
      <c r="C2" s="34"/>
      <c r="D2" s="34"/>
      <c r="E2" s="34"/>
      <c r="F2" s="34"/>
      <c r="G2" s="34"/>
      <c r="H2" s="34"/>
      <c r="I2" s="34"/>
      <c r="J2" s="12">
        <f t="shared" ref="J2:J20" si="0">VINN</f>
        <v>0</v>
      </c>
      <c r="K2" s="20">
        <f>'CALCULATION PAGE'!E2</f>
        <v>1</v>
      </c>
      <c r="L2" s="29">
        <v>0</v>
      </c>
      <c r="M2" s="23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13">
        <f t="shared" si="0"/>
        <v>0.2</v>
      </c>
      <c r="K3" s="21">
        <f>'CALCULATION PAGE'!E3</f>
        <v>1</v>
      </c>
      <c r="L3" s="30">
        <v>0</v>
      </c>
      <c r="M3" s="24"/>
    </row>
    <row r="4" spans="1:13" x14ac:dyDescent="0.25">
      <c r="A4" s="34"/>
      <c r="B4" s="34"/>
      <c r="C4" s="34"/>
      <c r="D4" s="34"/>
      <c r="E4" s="34"/>
      <c r="F4" s="34"/>
      <c r="G4" s="34"/>
      <c r="H4" s="34"/>
      <c r="I4" s="34"/>
      <c r="J4" s="13">
        <f t="shared" si="0"/>
        <v>0.25</v>
      </c>
      <c r="K4" s="22">
        <f>'CALCULATION PAGE'!E4</f>
        <v>1</v>
      </c>
      <c r="L4" s="31">
        <v>0</v>
      </c>
      <c r="M4" s="24"/>
    </row>
    <row r="5" spans="1:13" x14ac:dyDescent="0.25">
      <c r="A5" s="34"/>
      <c r="B5" s="34"/>
      <c r="C5" s="34"/>
      <c r="D5" s="34"/>
      <c r="E5" s="34"/>
      <c r="F5" s="34"/>
      <c r="G5" s="34"/>
      <c r="H5" s="34"/>
      <c r="I5" s="34"/>
      <c r="J5" s="13">
        <f t="shared" si="0"/>
        <v>0.28451779686442458</v>
      </c>
      <c r="K5" s="23">
        <f>'CALCULATION PAGE'!E5</f>
        <v>0.99743325873106148</v>
      </c>
      <c r="L5" s="14"/>
      <c r="M5" s="24"/>
    </row>
    <row r="6" spans="1:13" x14ac:dyDescent="0.25">
      <c r="A6" s="34"/>
      <c r="B6" s="34"/>
      <c r="C6" s="34"/>
      <c r="D6" s="34"/>
      <c r="E6" s="34"/>
      <c r="F6" s="34"/>
      <c r="G6" s="34"/>
      <c r="H6" s="34"/>
      <c r="I6" s="34"/>
      <c r="J6" s="13">
        <f t="shared" si="0"/>
        <v>0.31903559372884915</v>
      </c>
      <c r="K6" s="24">
        <f>'CALCULATION PAGE'!E6</f>
        <v>0.98879563597877096</v>
      </c>
      <c r="L6" s="14"/>
      <c r="M6" s="24"/>
    </row>
    <row r="7" spans="1:13" x14ac:dyDescent="0.25">
      <c r="A7" s="34"/>
      <c r="B7" s="34"/>
      <c r="C7" s="34"/>
      <c r="D7" s="34"/>
      <c r="E7" s="34"/>
      <c r="F7" s="34"/>
      <c r="G7" s="34"/>
      <c r="H7" s="34"/>
      <c r="I7" s="34"/>
      <c r="J7" s="13">
        <f t="shared" si="0"/>
        <v>0.35355339059327373</v>
      </c>
      <c r="K7" s="24">
        <f>'CALCULATION PAGE'!E7</f>
        <v>0.971959830145249</v>
      </c>
      <c r="L7" s="14"/>
      <c r="M7" s="24"/>
    </row>
    <row r="8" spans="1:13" x14ac:dyDescent="0.25">
      <c r="A8" s="34"/>
      <c r="B8" s="34"/>
      <c r="C8" s="34"/>
      <c r="D8" s="34"/>
      <c r="E8" s="34"/>
      <c r="F8" s="34"/>
      <c r="G8" s="34"/>
      <c r="H8" s="34"/>
      <c r="I8" s="34"/>
      <c r="J8" s="13">
        <f t="shared" si="0"/>
        <v>0.38807118745769831</v>
      </c>
      <c r="K8" s="24">
        <f>'CALCULATION PAGE'!E8</f>
        <v>0.94280904158206336</v>
      </c>
      <c r="L8" s="14"/>
      <c r="M8" s="24"/>
    </row>
    <row r="9" spans="1:13" x14ac:dyDescent="0.25">
      <c r="A9" s="34"/>
      <c r="B9" s="34"/>
      <c r="C9" s="34"/>
      <c r="D9" s="34"/>
      <c r="E9" s="34"/>
      <c r="F9" s="34"/>
      <c r="G9" s="34"/>
      <c r="H9" s="34"/>
      <c r="I9" s="34"/>
      <c r="J9" s="13">
        <f t="shared" si="0"/>
        <v>0.42258898432212288</v>
      </c>
      <c r="K9" s="25">
        <f>'CALCULATION PAGE'!E9</f>
        <v>0.89081835486727923</v>
      </c>
      <c r="L9" s="14"/>
      <c r="M9" s="25"/>
    </row>
    <row r="10" spans="1:13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15">
        <f t="shared" si="0"/>
        <v>0.45710678118654746</v>
      </c>
      <c r="K10" s="26">
        <f>'CALCULATION PAGE'!E10</f>
        <v>0.70710678118654746</v>
      </c>
      <c r="L10" s="14"/>
      <c r="M10" s="16"/>
    </row>
    <row r="11" spans="1:13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15">
        <f t="shared" si="0"/>
        <v>0.45710678118654752</v>
      </c>
      <c r="K11" s="27">
        <f>'CALCULATION PAGE'!E11</f>
        <v>0.45710678118654752</v>
      </c>
      <c r="L11" s="14"/>
      <c r="M11" s="16"/>
    </row>
    <row r="12" spans="1:13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15">
        <f t="shared" si="0"/>
        <v>0.45710678118654752</v>
      </c>
      <c r="K12" s="28">
        <f>'CALCULATION PAGE'!E12</f>
        <v>0.20710678118654752</v>
      </c>
      <c r="L12" s="14"/>
      <c r="M12" s="16"/>
    </row>
    <row r="13" spans="1:13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13">
        <f t="shared" si="0"/>
        <v>0.50592231765545626</v>
      </c>
      <c r="K13" s="23">
        <f>'CALCULATION PAGE'!E13</f>
        <v>6.6953338283713193E-2</v>
      </c>
      <c r="L13" s="23"/>
      <c r="M13" s="16"/>
    </row>
    <row r="14" spans="1:13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13">
        <f t="shared" si="0"/>
        <v>0.55473785412436505</v>
      </c>
      <c r="K14" s="24">
        <f>'CALCULATION PAGE'!E14</f>
        <v>3.3073526450774604E-2</v>
      </c>
      <c r="L14" s="24"/>
      <c r="M14" s="16"/>
    </row>
    <row r="15" spans="1:13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13">
        <f t="shared" si="0"/>
        <v>0.60355339059327384</v>
      </c>
      <c r="K15" s="24">
        <f>'CALCULATION PAGE'!E15</f>
        <v>1.5505028229784557E-2</v>
      </c>
      <c r="L15" s="24"/>
      <c r="M15" s="16"/>
    </row>
    <row r="16" spans="1:13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13">
        <f t="shared" si="0"/>
        <v>0.65236892706218264</v>
      </c>
      <c r="K16" s="24">
        <f>'CALCULATION PAGE'!E16</f>
        <v>5.9665553946088301E-3</v>
      </c>
      <c r="L16" s="24"/>
      <c r="M16" s="16"/>
    </row>
    <row r="17" spans="1:13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13">
        <f t="shared" si="0"/>
        <v>0.70118446353109143</v>
      </c>
      <c r="K17" s="25">
        <f>'CALCULATION PAGE'!E17</f>
        <v>1.3223270587438551E-3</v>
      </c>
      <c r="L17" s="24"/>
      <c r="M17" s="16"/>
    </row>
    <row r="18" spans="1:13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13">
        <f t="shared" si="0"/>
        <v>0.75</v>
      </c>
      <c r="K18" s="20">
        <f>'CALCULATION PAGE'!E18</f>
        <v>0</v>
      </c>
      <c r="L18" s="24"/>
      <c r="M18" s="17">
        <f t="shared" ref="M18" si="1">kp/2*(VDD-VIN+VTP)^2</f>
        <v>0</v>
      </c>
    </row>
    <row r="19" spans="1:13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13">
        <f t="shared" si="0"/>
        <v>0.875</v>
      </c>
      <c r="K19" s="21">
        <f>'CALCULATION PAGE'!E19</f>
        <v>0</v>
      </c>
      <c r="L19" s="24"/>
      <c r="M19" s="17">
        <v>0</v>
      </c>
    </row>
    <row r="20" spans="1:13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18">
        <f t="shared" si="0"/>
        <v>1</v>
      </c>
      <c r="K20" s="22">
        <f>'CALCULATION PAGE'!E20</f>
        <v>0</v>
      </c>
      <c r="L20" s="25"/>
      <c r="M20" s="19">
        <v>0</v>
      </c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t="s">
        <v>41</v>
      </c>
    </row>
    <row r="22" spans="1:13" x14ac:dyDescent="0.25">
      <c r="A22" s="34"/>
      <c r="B22" s="34"/>
      <c r="C22" s="34"/>
      <c r="D22" s="34"/>
      <c r="E22" s="34"/>
      <c r="F22" s="34"/>
      <c r="G22" s="34"/>
      <c r="H22" s="34"/>
      <c r="I22" s="34"/>
    </row>
    <row r="23" spans="1:13" x14ac:dyDescent="0.25">
      <c r="A23" s="34"/>
      <c r="B23" s="34"/>
      <c r="C23" s="34"/>
      <c r="D23" s="34"/>
      <c r="E23" s="34"/>
      <c r="F23" s="34"/>
      <c r="G23" s="34"/>
      <c r="H23" s="34"/>
      <c r="I23" s="34"/>
    </row>
    <row r="25" spans="1:13" x14ac:dyDescent="0.25">
      <c r="B25" t="s">
        <v>42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8" workbookViewId="0">
      <selection activeCell="A8" sqref="A1:XFD1048576"/>
    </sheetView>
  </sheetViews>
  <sheetFormatPr defaultRowHeight="15" x14ac:dyDescent="0.25"/>
  <cols>
    <col min="1" max="1" width="9.140625" style="42"/>
    <col min="2" max="3" width="9.85546875" style="42" bestFit="1" customWidth="1"/>
    <col min="4" max="4" width="12" style="42" bestFit="1" customWidth="1"/>
    <col min="5" max="8" width="9.140625" style="42"/>
    <col min="9" max="9" width="13.42578125" style="42" bestFit="1" customWidth="1"/>
    <col min="10" max="10" width="9.140625" style="42"/>
    <col min="11" max="11" width="7.5703125" style="42" customWidth="1"/>
    <col min="12" max="13" width="6.7109375" style="42" customWidth="1"/>
    <col min="14" max="14" width="9.140625" style="42"/>
    <col min="15" max="15" width="11.140625" style="42" customWidth="1"/>
    <col min="16" max="16384" width="9.140625" style="42"/>
  </cols>
  <sheetData>
    <row r="1" spans="1:18" s="39" customFormat="1" ht="30" x14ac:dyDescent="0.25">
      <c r="A1" s="38">
        <v>-0.05</v>
      </c>
      <c r="B1" s="39" t="s">
        <v>15</v>
      </c>
      <c r="C1" s="39" t="s">
        <v>1</v>
      </c>
      <c r="E1" s="39" t="s">
        <v>6</v>
      </c>
      <c r="F1" s="39" t="s">
        <v>3</v>
      </c>
      <c r="G1" s="39" t="s">
        <v>4</v>
      </c>
      <c r="K1" s="40" t="s">
        <v>26</v>
      </c>
      <c r="L1" s="40"/>
      <c r="M1" s="40"/>
      <c r="N1" s="39" t="s">
        <v>20</v>
      </c>
      <c r="O1" s="41" t="s">
        <v>27</v>
      </c>
      <c r="P1" s="41" t="s">
        <v>21</v>
      </c>
      <c r="Q1" s="41" t="s">
        <v>22</v>
      </c>
    </row>
    <row r="2" spans="1:18" x14ac:dyDescent="0.25">
      <c r="A2" s="42">
        <f>A1+0.05</f>
        <v>0</v>
      </c>
      <c r="B2" s="43">
        <f t="shared" ref="B2:B22" si="0">IF(VI&gt;VTN,IF(VO&gt;=VI-VTN,kn/2*(VI-VTN)^2,kn*(VI-VTN-VO/2)*VO),0)</f>
        <v>0</v>
      </c>
      <c r="C2" s="43">
        <f t="shared" ref="C2:C22" si="1">IF(VD-VI&gt;=-VTP,IF(VDD-VO&gt;=VDD-VI+VTP,kp/2*(VDD-VI+VTP)^2,kp*(VDD-VI+VTP-(VDD-VO)/2)*(VDD-VO)),0.04)</f>
        <v>0.04</v>
      </c>
      <c r="D2" s="42">
        <v>0</v>
      </c>
      <c r="E2" s="42">
        <f>VDD</f>
        <v>1</v>
      </c>
      <c r="F2" s="42">
        <v>0</v>
      </c>
      <c r="G2" s="42">
        <f t="shared" ref="G2:G17" si="2">VINN-VTP</f>
        <v>0.25</v>
      </c>
      <c r="I2" s="44">
        <f>VN</f>
        <v>0.25</v>
      </c>
      <c r="J2" s="45">
        <v>0</v>
      </c>
      <c r="K2" s="42">
        <f>1+L2</f>
        <v>1</v>
      </c>
      <c r="L2" s="42">
        <f>N2/2</f>
        <v>0</v>
      </c>
      <c r="M2" s="42">
        <f>L2+2</f>
        <v>2</v>
      </c>
      <c r="N2" s="42">
        <v>0</v>
      </c>
      <c r="O2" s="42">
        <f t="shared" ref="O2:O42" si="3">g0+(f0-g0)/6*R2</f>
        <v>0.2</v>
      </c>
      <c r="P2" s="42">
        <f t="shared" ref="P2:P42" si="4">IF(s0&lt;=VN,VD,IF(s0&lt;VSWW,s0-VP+SQRT((s0-VD-VP)^2-x0*(s0-VN)^2),IF(s0=VSWW,VSWW,IF(s0&lt;VD+VP,s0-VN-SQRT((s0-VN)^2-1/x0*(s0-VD-VP)^2),0))))</f>
        <v>1</v>
      </c>
      <c r="Q2" s="42">
        <f t="shared" ref="Q2:Q42" si="5">IF(O0&lt;=VN,VD,IF(O0&lt;VSWW,O0-VP+SQRT((O0-VD-VP)^2-x0*(O0-VN)^2),IF(O0=VSWW,VSWW,IF(O0&lt;VD+VP,O0-VN-SQRT((O0-VN)^2-1/x0*(O0-VD-VP)^2),0))))</f>
        <v>0</v>
      </c>
      <c r="R2" s="42">
        <v>0</v>
      </c>
    </row>
    <row r="3" spans="1:18" x14ac:dyDescent="0.25">
      <c r="A3" s="42">
        <f t="shared" ref="A3:A22" si="6">A2+0.05</f>
        <v>0.05</v>
      </c>
      <c r="B3" s="43">
        <f t="shared" si="0"/>
        <v>9.52</v>
      </c>
      <c r="C3" s="43">
        <f t="shared" si="1"/>
        <v>0.04</v>
      </c>
      <c r="D3" s="46">
        <f>VN*0.8</f>
        <v>0.2</v>
      </c>
      <c r="E3" s="42">
        <f>VDD</f>
        <v>1</v>
      </c>
      <c r="F3" s="42">
        <v>0</v>
      </c>
      <c r="G3" s="42">
        <f t="shared" si="2"/>
        <v>0.45</v>
      </c>
      <c r="I3" s="47">
        <f>VN</f>
        <v>0.25</v>
      </c>
      <c r="J3" s="48">
        <v>1</v>
      </c>
      <c r="K3" s="42">
        <f t="shared" ref="K3:K42" si="7">1+L3</f>
        <v>1.0249999999999999</v>
      </c>
      <c r="L3" s="42">
        <f t="shared" ref="L3:L42" si="8">N3/2</f>
        <v>2.5000000000000001E-2</v>
      </c>
      <c r="M3" s="42">
        <f t="shared" ref="M3:M42" si="9">L3+2</f>
        <v>2.0249999999999999</v>
      </c>
      <c r="N3" s="42">
        <v>0.05</v>
      </c>
      <c r="O3" s="42">
        <f t="shared" si="3"/>
        <v>0.28333333333333333</v>
      </c>
      <c r="P3" s="42">
        <f t="shared" si="4"/>
        <v>0.99761294257280397</v>
      </c>
      <c r="Q3" s="42">
        <f t="shared" si="5"/>
        <v>0</v>
      </c>
      <c r="R3" s="42">
        <v>1</v>
      </c>
    </row>
    <row r="4" spans="1:18" x14ac:dyDescent="0.25">
      <c r="A4" s="42">
        <f t="shared" si="6"/>
        <v>0.1</v>
      </c>
      <c r="B4" s="43">
        <f t="shared" si="0"/>
        <v>18.040000000000003</v>
      </c>
      <c r="C4" s="43">
        <f t="shared" si="1"/>
        <v>0.04</v>
      </c>
      <c r="D4" s="46">
        <f>VN</f>
        <v>0.25</v>
      </c>
      <c r="E4" s="42">
        <f>VDD</f>
        <v>1</v>
      </c>
      <c r="F4" s="42">
        <f>VINN-VN</f>
        <v>0</v>
      </c>
      <c r="G4" s="42">
        <f t="shared" si="2"/>
        <v>0.5</v>
      </c>
      <c r="I4" s="47" t="s">
        <v>25</v>
      </c>
      <c r="J4" s="48"/>
      <c r="K4" s="42">
        <f t="shared" si="7"/>
        <v>1.05</v>
      </c>
      <c r="L4" s="42">
        <f t="shared" si="8"/>
        <v>0.05</v>
      </c>
      <c r="M4" s="42">
        <f t="shared" si="9"/>
        <v>2.0499999999999998</v>
      </c>
      <c r="N4" s="42">
        <v>0.1</v>
      </c>
      <c r="O4" s="42">
        <f t="shared" si="3"/>
        <v>0.3666666666666667</v>
      </c>
      <c r="P4" s="42">
        <f t="shared" si="4"/>
        <v>0.96267565820044498</v>
      </c>
      <c r="Q4" s="42">
        <f t="shared" si="5"/>
        <v>0</v>
      </c>
      <c r="R4" s="42">
        <v>2</v>
      </c>
    </row>
    <row r="5" spans="1:18" x14ac:dyDescent="0.25">
      <c r="A5" s="42">
        <f t="shared" si="6"/>
        <v>0.15000000000000002</v>
      </c>
      <c r="B5" s="43">
        <f t="shared" si="0"/>
        <v>25.560000000000006</v>
      </c>
      <c r="C5" s="43">
        <f t="shared" si="1"/>
        <v>0.04</v>
      </c>
      <c r="D5" s="46">
        <f t="shared" ref="D5:D10" si="10">D4+(VSWW-VN)/6</f>
        <v>0.28451779686442458</v>
      </c>
      <c r="E5" s="42">
        <f>VINN-VTP+SQRT((VINN-VDD-VTP)^2-x0*(VINN-VTN)^2)</f>
        <v>0.99743325873106148</v>
      </c>
      <c r="F5" s="42">
        <f t="shared" ref="F5:F20" si="11">VINN-VTN</f>
        <v>3.4517796864424577E-2</v>
      </c>
      <c r="G5" s="42">
        <f t="shared" si="2"/>
        <v>0.53451779686442458</v>
      </c>
      <c r="I5" s="47">
        <f>VD+VP</f>
        <v>0.75</v>
      </c>
      <c r="J5" s="48">
        <v>0</v>
      </c>
      <c r="K5" s="42">
        <f t="shared" si="7"/>
        <v>1.075</v>
      </c>
      <c r="L5" s="42">
        <f t="shared" si="8"/>
        <v>7.4999999999999997E-2</v>
      </c>
      <c r="M5" s="42">
        <f t="shared" si="9"/>
        <v>2.0750000000000002</v>
      </c>
      <c r="N5" s="42">
        <v>0.15</v>
      </c>
      <c r="O5" s="42">
        <f t="shared" si="3"/>
        <v>0.45</v>
      </c>
      <c r="P5" s="42">
        <f t="shared" si="4"/>
        <v>0.8</v>
      </c>
      <c r="Q5" s="42">
        <f t="shared" si="5"/>
        <v>0</v>
      </c>
      <c r="R5" s="42">
        <v>3</v>
      </c>
    </row>
    <row r="6" spans="1:18" x14ac:dyDescent="0.25">
      <c r="A6" s="42">
        <f t="shared" si="6"/>
        <v>0.2</v>
      </c>
      <c r="B6" s="43">
        <f t="shared" si="0"/>
        <v>32.080000000000005</v>
      </c>
      <c r="C6" s="43">
        <f t="shared" si="1"/>
        <v>0.04</v>
      </c>
      <c r="D6" s="46">
        <f t="shared" si="10"/>
        <v>0.31903559372884915</v>
      </c>
      <c r="E6" s="42">
        <f>VINN-VTP+SQRT((VINN-VDD-VTP)^2-x0*(VINN-VTN)^2)</f>
        <v>0.98879563597877096</v>
      </c>
      <c r="F6" s="42">
        <f t="shared" si="11"/>
        <v>6.9035593728849154E-2</v>
      </c>
      <c r="G6" s="42">
        <f t="shared" si="2"/>
        <v>0.56903559372884915</v>
      </c>
      <c r="I6" s="49">
        <f>VD+VP</f>
        <v>0.75</v>
      </c>
      <c r="J6" s="50">
        <v>1</v>
      </c>
      <c r="K6" s="42">
        <f t="shared" si="7"/>
        <v>1.1000000000000001</v>
      </c>
      <c r="L6" s="42">
        <f t="shared" si="8"/>
        <v>0.1</v>
      </c>
      <c r="M6" s="42">
        <f t="shared" si="9"/>
        <v>2.1</v>
      </c>
      <c r="N6" s="42">
        <v>0.2</v>
      </c>
      <c r="O6" s="42">
        <f t="shared" si="3"/>
        <v>0.53333333333333333</v>
      </c>
      <c r="P6" s="42">
        <f t="shared" si="4"/>
        <v>4.4994172565415158E-2</v>
      </c>
      <c r="Q6" s="42">
        <f t="shared" si="5"/>
        <v>1</v>
      </c>
      <c r="R6" s="42">
        <v>4</v>
      </c>
    </row>
    <row r="7" spans="1:18" x14ac:dyDescent="0.25">
      <c r="A7" s="42">
        <f t="shared" si="6"/>
        <v>0.25</v>
      </c>
      <c r="B7" s="43">
        <f t="shared" si="0"/>
        <v>37.6</v>
      </c>
      <c r="C7" s="43">
        <f t="shared" si="1"/>
        <v>0.04</v>
      </c>
      <c r="D7" s="46">
        <f t="shared" si="10"/>
        <v>0.35355339059327373</v>
      </c>
      <c r="E7" s="42">
        <f>VINN-VTP+SQRT((VINN-VDD-VTP)^2-x0*(VINN-VTN)^2)</f>
        <v>0.971959830145249</v>
      </c>
      <c r="F7" s="42">
        <f t="shared" si="11"/>
        <v>0.10355339059327373</v>
      </c>
      <c r="G7" s="42">
        <f t="shared" si="2"/>
        <v>0.60355339059327373</v>
      </c>
      <c r="H7" s="44">
        <f>VI</f>
        <v>0.751</v>
      </c>
      <c r="I7" s="45">
        <f>IF(VI=0,VDD,IF(VI&lt;VSWW,VI-VTP+SQRT((VI-VD-VTP)^2-x0*(VI-VTN)^2),IF(VI=VSWW,VSWW-VTP,IF(VI&lt;VD+VTP,VI-VTN-SQRT((VI-VTN)^2-1/x0*(VI-VD-VTP)^2),0))))</f>
        <v>0</v>
      </c>
      <c r="J7" s="45">
        <f>IF(VI&gt;VN,IF(I$8&gt;=VI-VN,kkn/2*(VI-VN)^2,kkn*(VI-VN-I$8/2)*I$8),0)</f>
        <v>0</v>
      </c>
      <c r="K7" s="42">
        <f t="shared" si="7"/>
        <v>1.125</v>
      </c>
      <c r="L7" s="42">
        <f t="shared" si="8"/>
        <v>0.125</v>
      </c>
      <c r="M7" s="42">
        <f t="shared" si="9"/>
        <v>2.125</v>
      </c>
      <c r="N7" s="42">
        <v>0.25</v>
      </c>
      <c r="O7" s="42">
        <f t="shared" si="3"/>
        <v>0.6166666666666667</v>
      </c>
      <c r="P7" s="42">
        <f t="shared" si="4"/>
        <v>1.2328472908844978E-2</v>
      </c>
      <c r="Q7" s="42">
        <f t="shared" si="5"/>
        <v>1</v>
      </c>
      <c r="R7" s="42">
        <v>5</v>
      </c>
    </row>
    <row r="8" spans="1:18" x14ac:dyDescent="0.25">
      <c r="A8" s="42">
        <f t="shared" si="6"/>
        <v>0.3</v>
      </c>
      <c r="B8" s="43">
        <f t="shared" si="0"/>
        <v>42.11999999999999</v>
      </c>
      <c r="C8" s="43">
        <f t="shared" si="1"/>
        <v>0.04</v>
      </c>
      <c r="D8" s="46">
        <f t="shared" si="10"/>
        <v>0.38807118745769831</v>
      </c>
      <c r="E8" s="42">
        <f>VINN-VTP+SQRT((VINN-VDD-VTP)^2-x0*(VINN-VTN)^2)</f>
        <v>0.94280904158206336</v>
      </c>
      <c r="F8" s="42">
        <f t="shared" si="11"/>
        <v>0.13807118745769831</v>
      </c>
      <c r="G8" s="42">
        <f t="shared" si="2"/>
        <v>0.63807118745769831</v>
      </c>
      <c r="H8" s="44">
        <f>VI</f>
        <v>0.751</v>
      </c>
      <c r="I8" s="45">
        <f>IF(VI=0,VDD,IF(VI&lt;VSWW,VI-VTP+SQRT((VI-VD-VTP)^2-x0*(VI-VTN)^2),IF(VI=VSWW,VSWW,IF(VI&lt;VD+VTP,VI-VTN-SQRT((VI-VTN)^2-1/x0*(VI-VD-VTP)^2),0))))</f>
        <v>0</v>
      </c>
      <c r="J8" s="45">
        <f>IF(VI&gt;VN,IF(I$8&gt;=VI-VN,kkn/2*(VI-VN)^2,kkn*(VI-VN-I$8/2)*I$8),0)</f>
        <v>0</v>
      </c>
      <c r="K8" s="42">
        <f t="shared" si="7"/>
        <v>1.1499999999999999</v>
      </c>
      <c r="L8" s="42">
        <f t="shared" si="8"/>
        <v>0.15</v>
      </c>
      <c r="M8" s="42">
        <f t="shared" si="9"/>
        <v>2.15</v>
      </c>
      <c r="N8" s="42">
        <v>0.3</v>
      </c>
      <c r="O8" s="42">
        <f t="shared" si="3"/>
        <v>0.7</v>
      </c>
      <c r="P8" s="42">
        <f t="shared" si="4"/>
        <v>1.3910388768409998E-3</v>
      </c>
      <c r="Q8" s="42">
        <f t="shared" si="5"/>
        <v>1</v>
      </c>
      <c r="R8" s="42">
        <v>6</v>
      </c>
    </row>
    <row r="9" spans="1:18" x14ac:dyDescent="0.25">
      <c r="A9" s="42">
        <f t="shared" si="6"/>
        <v>0.35</v>
      </c>
      <c r="B9" s="43">
        <f t="shared" si="0"/>
        <v>45.64</v>
      </c>
      <c r="C9" s="43">
        <f t="shared" si="1"/>
        <v>0.04</v>
      </c>
      <c r="D9" s="46">
        <f t="shared" si="10"/>
        <v>0.42258898432212288</v>
      </c>
      <c r="E9" s="42">
        <f>VINN-VTP+SQRT((VINN-VDD-VTP)^2-x0*(VINN-VTN)^2)</f>
        <v>0.89081835486727923</v>
      </c>
      <c r="F9" s="42">
        <f t="shared" si="11"/>
        <v>0.17258898432212288</v>
      </c>
      <c r="G9" s="42">
        <f t="shared" si="2"/>
        <v>0.67258898432212288</v>
      </c>
      <c r="H9" s="47">
        <f>VI</f>
        <v>0.751</v>
      </c>
      <c r="I9" s="45">
        <f>IF(VI=0,VDD,IF(VI&lt;VSWW,VI-VTP+SQRT((VI-VD-VTP)^2-x0*(VI-VTN)^2),IF(VI=VSWW,VSWW-VTN,IF(VI&lt;VD+VTP,VI-VTN-SQRT((VI-VTN)^2-1/x0*(VI-VD-VTP)^2),0))))</f>
        <v>0</v>
      </c>
      <c r="J9" s="48">
        <f>IF(VI&gt;VN,IF(I$8&gt;=VI-VN,kkn/2*(VI-VN)^2,kkn*(VI-VN-I$8/2)*I$8),0)</f>
        <v>0</v>
      </c>
      <c r="K9" s="42">
        <f t="shared" si="7"/>
        <v>1.175</v>
      </c>
      <c r="L9" s="42">
        <f t="shared" si="8"/>
        <v>0.17499999999999999</v>
      </c>
      <c r="M9" s="42">
        <f t="shared" si="9"/>
        <v>2.1749999999999998</v>
      </c>
      <c r="N9" s="42">
        <v>0.35</v>
      </c>
      <c r="O9" s="42">
        <f t="shared" si="3"/>
        <v>0.7</v>
      </c>
      <c r="P9" s="42">
        <f t="shared" si="4"/>
        <v>1.3910388768409998E-3</v>
      </c>
      <c r="Q9" s="42">
        <f t="shared" si="5"/>
        <v>1</v>
      </c>
      <c r="R9" s="42">
        <v>6</v>
      </c>
    </row>
    <row r="10" spans="1:18" x14ac:dyDescent="0.25">
      <c r="A10" s="42">
        <f t="shared" si="6"/>
        <v>0.39999999999999997</v>
      </c>
      <c r="B10" s="43">
        <f t="shared" si="0"/>
        <v>48.160000000000004</v>
      </c>
      <c r="C10" s="43">
        <f t="shared" si="1"/>
        <v>0.04</v>
      </c>
      <c r="D10" s="46">
        <f t="shared" si="10"/>
        <v>0.45710678118654746</v>
      </c>
      <c r="E10" s="42">
        <f>VSW-VTP</f>
        <v>0.70710678118654746</v>
      </c>
      <c r="F10" s="42">
        <f t="shared" si="11"/>
        <v>0.20710678118654746</v>
      </c>
      <c r="G10" s="42">
        <f t="shared" si="2"/>
        <v>0.70710678118654746</v>
      </c>
      <c r="H10" s="49"/>
      <c r="I10" s="50" t="s">
        <v>51</v>
      </c>
      <c r="J10" s="50"/>
      <c r="K10" s="42">
        <f t="shared" si="7"/>
        <v>1.2</v>
      </c>
      <c r="L10" s="42">
        <f t="shared" si="8"/>
        <v>0.2</v>
      </c>
      <c r="M10" s="42">
        <f t="shared" si="9"/>
        <v>2.2000000000000002</v>
      </c>
      <c r="N10" s="42">
        <v>0.4</v>
      </c>
      <c r="O10" s="42">
        <f t="shared" si="3"/>
        <v>0.7</v>
      </c>
      <c r="P10" s="42">
        <f t="shared" si="4"/>
        <v>1.3910388768409998E-3</v>
      </c>
      <c r="Q10" s="42">
        <f t="shared" si="5"/>
        <v>1</v>
      </c>
      <c r="R10" s="42">
        <v>6</v>
      </c>
    </row>
    <row r="11" spans="1:18" x14ac:dyDescent="0.25">
      <c r="A11" s="42">
        <f t="shared" si="6"/>
        <v>0.44999999999999996</v>
      </c>
      <c r="B11" s="43">
        <f t="shared" si="0"/>
        <v>49.68</v>
      </c>
      <c r="C11" s="43">
        <f t="shared" si="1"/>
        <v>0.04</v>
      </c>
      <c r="D11" s="46">
        <f>VSWW</f>
        <v>0.45710678118654752</v>
      </c>
      <c r="E11" s="42">
        <f>VSW</f>
        <v>0.45710678118654752</v>
      </c>
      <c r="F11" s="42">
        <f t="shared" si="11"/>
        <v>0.20710678118654752</v>
      </c>
      <c r="G11" s="42">
        <f t="shared" si="2"/>
        <v>0.70710678118654746</v>
      </c>
      <c r="K11" s="42">
        <f t="shared" si="7"/>
        <v>1.2250000000000001</v>
      </c>
      <c r="L11" s="42">
        <f t="shared" si="8"/>
        <v>0.22500000000000001</v>
      </c>
      <c r="M11" s="42">
        <f t="shared" si="9"/>
        <v>2.2250000000000001</v>
      </c>
      <c r="N11" s="42">
        <v>0.45</v>
      </c>
      <c r="O11" s="42">
        <f t="shared" si="3"/>
        <v>0.7</v>
      </c>
      <c r="P11" s="42">
        <f t="shared" si="4"/>
        <v>1.3910388768409998E-3</v>
      </c>
      <c r="Q11" s="42">
        <f t="shared" si="5"/>
        <v>1</v>
      </c>
      <c r="R11" s="42">
        <v>6</v>
      </c>
    </row>
    <row r="12" spans="1:18" x14ac:dyDescent="0.25">
      <c r="A12" s="42">
        <f t="shared" si="6"/>
        <v>0.49999999999999994</v>
      </c>
      <c r="B12" s="43">
        <f t="shared" si="0"/>
        <v>50.199999999999996</v>
      </c>
      <c r="C12" s="43">
        <f t="shared" si="1"/>
        <v>0.04</v>
      </c>
      <c r="D12" s="46">
        <f>VSWW</f>
        <v>0.45710678118654752</v>
      </c>
      <c r="E12" s="42">
        <f>VSW-VTN</f>
        <v>0.20710678118654752</v>
      </c>
      <c r="F12" s="42">
        <f t="shared" si="11"/>
        <v>0.20710678118654752</v>
      </c>
      <c r="G12" s="42">
        <f t="shared" si="2"/>
        <v>0.70710678118654746</v>
      </c>
      <c r="H12" s="51" t="s">
        <v>31</v>
      </c>
      <c r="I12" s="52"/>
      <c r="K12" s="42">
        <f t="shared" si="7"/>
        <v>1.25</v>
      </c>
      <c r="L12" s="42">
        <f t="shared" si="8"/>
        <v>0.25</v>
      </c>
      <c r="M12" s="42">
        <f t="shared" si="9"/>
        <v>2.25</v>
      </c>
      <c r="N12" s="42">
        <v>0.5</v>
      </c>
      <c r="O12" s="42">
        <f t="shared" si="3"/>
        <v>0.7</v>
      </c>
      <c r="P12" s="42">
        <f t="shared" si="4"/>
        <v>1.3910388768409998E-3</v>
      </c>
      <c r="Q12" s="42">
        <f t="shared" si="5"/>
        <v>1</v>
      </c>
      <c r="R12" s="42">
        <v>6</v>
      </c>
    </row>
    <row r="13" spans="1:18" x14ac:dyDescent="0.25">
      <c r="A13" s="42">
        <f t="shared" si="6"/>
        <v>0.54999999999999993</v>
      </c>
      <c r="B13" s="43">
        <f t="shared" si="0"/>
        <v>50.200199999999995</v>
      </c>
      <c r="C13" s="43">
        <f t="shared" si="1"/>
        <v>0.04</v>
      </c>
      <c r="D13" s="46">
        <f>D12+(VD+VP-VSWW)/6</f>
        <v>0.50592231765545626</v>
      </c>
      <c r="E13" s="42">
        <f>VINN-VTN-SQRT((VINN-VTN)^2-1/x0*(VINN-VDD-VTP)^2)</f>
        <v>6.6953338283713193E-2</v>
      </c>
      <c r="F13" s="42">
        <f t="shared" si="11"/>
        <v>0.25592231765545626</v>
      </c>
      <c r="G13" s="42">
        <f t="shared" si="2"/>
        <v>0.75592231765545626</v>
      </c>
      <c r="H13" s="47" t="s">
        <v>28</v>
      </c>
      <c r="I13" s="53">
        <v>0.6</v>
      </c>
      <c r="K13" s="42">
        <f t="shared" si="7"/>
        <v>1.2749999999999999</v>
      </c>
      <c r="L13" s="42">
        <f t="shared" si="8"/>
        <v>0.27500000000000002</v>
      </c>
      <c r="M13" s="42">
        <f t="shared" si="9"/>
        <v>2.2749999999999999</v>
      </c>
      <c r="N13" s="42">
        <v>0.55000000000000004</v>
      </c>
      <c r="O13" s="42">
        <f t="shared" si="3"/>
        <v>0.7</v>
      </c>
      <c r="P13" s="42">
        <f t="shared" si="4"/>
        <v>1.3910388768409998E-3</v>
      </c>
      <c r="Q13" s="42">
        <f t="shared" si="5"/>
        <v>1</v>
      </c>
      <c r="R13" s="42">
        <v>6</v>
      </c>
    </row>
    <row r="14" spans="1:18" x14ac:dyDescent="0.25">
      <c r="A14" s="42">
        <f t="shared" si="6"/>
        <v>0.6</v>
      </c>
      <c r="B14" s="43">
        <f t="shared" si="0"/>
        <v>50.200199999999995</v>
      </c>
      <c r="C14" s="43">
        <f t="shared" si="1"/>
        <v>0.04</v>
      </c>
      <c r="D14" s="46">
        <f>D13+(VD+VP-VSWW)/6</f>
        <v>0.55473785412436505</v>
      </c>
      <c r="E14" s="42">
        <f>VINN-VN-SQRT((VINN-VN)^2-kkp/kkn*(VINN-VD-VP)^2)</f>
        <v>3.3073526450774604E-2</v>
      </c>
      <c r="F14" s="42">
        <f t="shared" si="11"/>
        <v>0.30473785412436505</v>
      </c>
      <c r="G14" s="42">
        <f t="shared" si="2"/>
        <v>0.80473785412436505</v>
      </c>
      <c r="H14" s="49" t="s">
        <v>29</v>
      </c>
      <c r="I14" s="54">
        <v>0.4</v>
      </c>
      <c r="K14" s="42">
        <f t="shared" si="7"/>
        <v>1.3</v>
      </c>
      <c r="L14" s="42">
        <f t="shared" si="8"/>
        <v>0.3</v>
      </c>
      <c r="M14" s="42">
        <f t="shared" si="9"/>
        <v>2.2999999999999998</v>
      </c>
      <c r="N14" s="42">
        <v>0.6</v>
      </c>
      <c r="O14" s="42">
        <f t="shared" si="3"/>
        <v>0.6166666666666667</v>
      </c>
      <c r="P14" s="42">
        <f t="shared" si="4"/>
        <v>1.2328472908844978E-2</v>
      </c>
      <c r="Q14" s="42">
        <f t="shared" si="5"/>
        <v>1</v>
      </c>
      <c r="R14" s="42">
        <v>5</v>
      </c>
    </row>
    <row r="15" spans="1:18" x14ac:dyDescent="0.25">
      <c r="A15" s="42">
        <f t="shared" si="6"/>
        <v>0.65</v>
      </c>
      <c r="B15" s="43">
        <f t="shared" si="0"/>
        <v>50.200199999999995</v>
      </c>
      <c r="C15" s="43">
        <f t="shared" si="1"/>
        <v>0.04</v>
      </c>
      <c r="D15" s="46">
        <f>D14+(VD+VP-VSWW)/6</f>
        <v>0.60355339059327384</v>
      </c>
      <c r="E15" s="42">
        <f>VINN-VN-SQRT((VINN-VN)^2-kkp/kkn*(VINN-VD-VP)^2)</f>
        <v>1.5505028229784557E-2</v>
      </c>
      <c r="F15" s="42">
        <f t="shared" si="11"/>
        <v>0.35355339059327384</v>
      </c>
      <c r="G15" s="42">
        <f t="shared" si="2"/>
        <v>0.85355339059327384</v>
      </c>
      <c r="K15" s="42">
        <f t="shared" si="7"/>
        <v>1.325</v>
      </c>
      <c r="L15" s="42">
        <f t="shared" si="8"/>
        <v>0.32500000000000001</v>
      </c>
      <c r="M15" s="42">
        <f t="shared" si="9"/>
        <v>2.3250000000000002</v>
      </c>
      <c r="N15" s="42">
        <v>0.65</v>
      </c>
      <c r="O15" s="42">
        <f t="shared" si="3"/>
        <v>0.53333333333333333</v>
      </c>
      <c r="P15" s="42">
        <f t="shared" si="4"/>
        <v>4.4994172565415158E-2</v>
      </c>
      <c r="Q15" s="42">
        <f t="shared" si="5"/>
        <v>1</v>
      </c>
      <c r="R15" s="42">
        <v>4</v>
      </c>
    </row>
    <row r="16" spans="1:18" x14ac:dyDescent="0.25">
      <c r="A16" s="42">
        <f t="shared" si="6"/>
        <v>0.70000000000000007</v>
      </c>
      <c r="B16" s="43">
        <f t="shared" si="0"/>
        <v>50.200199999999995</v>
      </c>
      <c r="C16" s="43">
        <f t="shared" si="1"/>
        <v>0.04</v>
      </c>
      <c r="D16" s="46">
        <f>D15+(VD+VP-VSWW)/6</f>
        <v>0.65236892706218264</v>
      </c>
      <c r="E16" s="42">
        <f>VINN-VN-SQRT((VINN-VN)^2-kkp/kkn*(VINN-VD-VP)^2)</f>
        <v>5.9665553946088301E-3</v>
      </c>
      <c r="F16" s="42">
        <f t="shared" si="11"/>
        <v>0.40236892706218264</v>
      </c>
      <c r="G16" s="42">
        <f t="shared" si="2"/>
        <v>0.90236892706218264</v>
      </c>
      <c r="H16" s="44" t="s">
        <v>23</v>
      </c>
      <c r="I16" s="45"/>
      <c r="K16" s="42">
        <f t="shared" si="7"/>
        <v>1.35</v>
      </c>
      <c r="L16" s="42">
        <f t="shared" si="8"/>
        <v>0.35</v>
      </c>
      <c r="M16" s="42">
        <f t="shared" si="9"/>
        <v>2.35</v>
      </c>
      <c r="N16" s="42">
        <v>0.7</v>
      </c>
      <c r="O16" s="42">
        <f t="shared" si="3"/>
        <v>0.45</v>
      </c>
      <c r="P16" s="42">
        <f t="shared" si="4"/>
        <v>0.8</v>
      </c>
      <c r="Q16" s="42">
        <f t="shared" si="5"/>
        <v>0</v>
      </c>
      <c r="R16" s="42">
        <v>3</v>
      </c>
    </row>
    <row r="17" spans="1:18" x14ac:dyDescent="0.25">
      <c r="A17" s="42">
        <f t="shared" si="6"/>
        <v>0.75000000000000011</v>
      </c>
      <c r="B17" s="43">
        <f t="shared" si="0"/>
        <v>50.200199999999995</v>
      </c>
      <c r="C17" s="43">
        <f t="shared" si="1"/>
        <v>0.04</v>
      </c>
      <c r="D17" s="46">
        <f>D16+(VD+VP-VSWW)/6</f>
        <v>0.70118446353109143</v>
      </c>
      <c r="E17" s="42">
        <f>VINN-VN-SQRT((VINN-VN)^2-kkp/kkn*(VINN-VD-VP)^2)</f>
        <v>1.3223270587438551E-3</v>
      </c>
      <c r="F17" s="42">
        <f t="shared" si="11"/>
        <v>0.45118446353109143</v>
      </c>
      <c r="G17" s="42">
        <f t="shared" si="2"/>
        <v>0.95118446353109143</v>
      </c>
      <c r="H17" s="55">
        <f>g0</f>
        <v>0.2</v>
      </c>
      <c r="I17" s="48">
        <f>IF(x0=1,VD-(b0-a0)/8,g0-VP+SQRT((g0-b0)^2-x0*(g0-a0)^2))</f>
        <v>0.99543560573178569</v>
      </c>
      <c r="K17" s="42">
        <f t="shared" si="7"/>
        <v>1.375</v>
      </c>
      <c r="L17" s="42">
        <f t="shared" si="8"/>
        <v>0.375</v>
      </c>
      <c r="M17" s="42">
        <f t="shared" si="9"/>
        <v>2.375</v>
      </c>
      <c r="N17" s="42">
        <v>0.75</v>
      </c>
      <c r="O17" s="42">
        <f t="shared" si="3"/>
        <v>0.3666666666666667</v>
      </c>
      <c r="P17" s="42">
        <f t="shared" si="4"/>
        <v>0.96267565820044498</v>
      </c>
      <c r="Q17" s="42">
        <f t="shared" si="5"/>
        <v>0</v>
      </c>
      <c r="R17" s="42">
        <v>2</v>
      </c>
    </row>
    <row r="18" spans="1:18" x14ac:dyDescent="0.25">
      <c r="A18" s="42">
        <f t="shared" si="6"/>
        <v>0.80000000000000016</v>
      </c>
      <c r="B18" s="43">
        <f t="shared" si="0"/>
        <v>50.200199999999995</v>
      </c>
      <c r="C18" s="43">
        <f t="shared" si="1"/>
        <v>0.04</v>
      </c>
      <c r="D18" s="46">
        <f>VD+VP</f>
        <v>0.75</v>
      </c>
      <c r="E18" s="42">
        <f>VINN-VN-SQRT((VINN-VN)^2-kkp/kkn*(VINN-VD-VP)^2)</f>
        <v>0</v>
      </c>
      <c r="F18" s="42">
        <f t="shared" si="11"/>
        <v>0.5</v>
      </c>
      <c r="G18" s="42">
        <f>VINN-VP</f>
        <v>1</v>
      </c>
      <c r="H18" s="56">
        <f>f0</f>
        <v>0.7</v>
      </c>
      <c r="I18" s="50">
        <f>IF(x0=1,(b0-a0)/8,f0-VN-SQRT((f0-VN)^2-1/x0*(f0-b0)^2))</f>
        <v>1.3910388768409998E-3</v>
      </c>
      <c r="K18" s="42">
        <f t="shared" si="7"/>
        <v>1.4</v>
      </c>
      <c r="L18" s="42">
        <f t="shared" si="8"/>
        <v>0.4</v>
      </c>
      <c r="M18" s="42">
        <f t="shared" si="9"/>
        <v>2.4</v>
      </c>
      <c r="N18" s="42">
        <v>0.8</v>
      </c>
      <c r="O18" s="42">
        <f t="shared" si="3"/>
        <v>0.28333333333333333</v>
      </c>
      <c r="P18" s="42">
        <f t="shared" si="4"/>
        <v>0.99761294257280397</v>
      </c>
      <c r="Q18" s="42">
        <f t="shared" si="5"/>
        <v>0</v>
      </c>
      <c r="R18" s="42">
        <v>1</v>
      </c>
    </row>
    <row r="19" spans="1:18" x14ac:dyDescent="0.25">
      <c r="A19" s="42">
        <f t="shared" si="6"/>
        <v>0.8500000000000002</v>
      </c>
      <c r="B19" s="43">
        <f t="shared" si="0"/>
        <v>50.200199999999995</v>
      </c>
      <c r="C19" s="43">
        <f t="shared" si="1"/>
        <v>0.04</v>
      </c>
      <c r="D19" s="46">
        <f>VD+VP/2</f>
        <v>0.875</v>
      </c>
      <c r="E19" s="42">
        <f>0</f>
        <v>0</v>
      </c>
      <c r="F19" s="42">
        <f t="shared" si="11"/>
        <v>0.625</v>
      </c>
      <c r="K19" s="42">
        <f t="shared" si="7"/>
        <v>1.425</v>
      </c>
      <c r="L19" s="42">
        <f t="shared" si="8"/>
        <v>0.42499999999999999</v>
      </c>
      <c r="M19" s="42">
        <f t="shared" si="9"/>
        <v>2.4249999999999998</v>
      </c>
      <c r="N19" s="42">
        <v>0.85</v>
      </c>
      <c r="O19" s="42">
        <f t="shared" si="3"/>
        <v>0.2</v>
      </c>
      <c r="P19" s="42">
        <f t="shared" si="4"/>
        <v>1</v>
      </c>
      <c r="Q19" s="42">
        <f t="shared" si="5"/>
        <v>0</v>
      </c>
      <c r="R19" s="42">
        <v>0</v>
      </c>
    </row>
    <row r="20" spans="1:18" x14ac:dyDescent="0.25">
      <c r="A20" s="42">
        <f t="shared" si="6"/>
        <v>0.90000000000000024</v>
      </c>
      <c r="B20" s="43">
        <f t="shared" si="0"/>
        <v>50.200199999999995</v>
      </c>
      <c r="C20" s="43">
        <f t="shared" si="1"/>
        <v>0.04</v>
      </c>
      <c r="D20" s="42">
        <f>VD</f>
        <v>1</v>
      </c>
      <c r="E20" s="42">
        <f>0</f>
        <v>0</v>
      </c>
      <c r="F20" s="42">
        <f t="shared" si="11"/>
        <v>0.75</v>
      </c>
      <c r="H20" s="44">
        <f>g0</f>
        <v>0.2</v>
      </c>
      <c r="I20" s="57">
        <f>f0</f>
        <v>0.7</v>
      </c>
      <c r="J20" s="45">
        <f>0</f>
        <v>0</v>
      </c>
      <c r="K20" s="42">
        <f t="shared" si="7"/>
        <v>1.45</v>
      </c>
      <c r="L20" s="42">
        <f t="shared" si="8"/>
        <v>0.45</v>
      </c>
      <c r="M20" s="42">
        <f t="shared" si="9"/>
        <v>2.4500000000000002</v>
      </c>
      <c r="N20" s="42">
        <v>0.9</v>
      </c>
      <c r="O20" s="42">
        <f t="shared" si="3"/>
        <v>0.2</v>
      </c>
      <c r="P20" s="42">
        <f t="shared" si="4"/>
        <v>1</v>
      </c>
      <c r="Q20" s="42">
        <f t="shared" si="5"/>
        <v>0</v>
      </c>
      <c r="R20" s="42">
        <v>0</v>
      </c>
    </row>
    <row r="21" spans="1:18" x14ac:dyDescent="0.25">
      <c r="A21" s="42">
        <f t="shared" si="6"/>
        <v>0.95000000000000029</v>
      </c>
      <c r="B21" s="43">
        <f t="shared" si="0"/>
        <v>50.200199999999995</v>
      </c>
      <c r="C21" s="43">
        <f t="shared" si="1"/>
        <v>0.04</v>
      </c>
      <c r="H21" s="49">
        <f>g0</f>
        <v>0.2</v>
      </c>
      <c r="I21" s="58">
        <f>f0</f>
        <v>0.7</v>
      </c>
      <c r="J21" s="50">
        <v>1</v>
      </c>
      <c r="K21" s="42">
        <f t="shared" si="7"/>
        <v>1.4750000000000001</v>
      </c>
      <c r="L21" s="42">
        <f t="shared" si="8"/>
        <v>0.47499999999999998</v>
      </c>
      <c r="M21" s="42">
        <f t="shared" si="9"/>
        <v>2.4750000000000001</v>
      </c>
      <c r="N21" s="42">
        <v>0.95</v>
      </c>
      <c r="O21" s="42">
        <f t="shared" si="3"/>
        <v>0.2</v>
      </c>
      <c r="P21" s="42">
        <f t="shared" si="4"/>
        <v>1</v>
      </c>
      <c r="Q21" s="42">
        <f t="shared" si="5"/>
        <v>0</v>
      </c>
      <c r="R21" s="42">
        <v>0</v>
      </c>
    </row>
    <row r="22" spans="1:18" x14ac:dyDescent="0.25">
      <c r="A22" s="42">
        <f t="shared" si="6"/>
        <v>1.0000000000000002</v>
      </c>
      <c r="B22" s="43">
        <f t="shared" si="0"/>
        <v>50.200199999999995</v>
      </c>
      <c r="C22" s="43">
        <f t="shared" si="1"/>
        <v>0.04</v>
      </c>
      <c r="H22" s="44">
        <f>g0</f>
        <v>0.2</v>
      </c>
      <c r="I22" s="45">
        <f>P21</f>
        <v>1</v>
      </c>
      <c r="K22" s="42">
        <f t="shared" si="7"/>
        <v>1.5</v>
      </c>
      <c r="L22" s="42">
        <f t="shared" si="8"/>
        <v>0.5</v>
      </c>
      <c r="M22" s="42">
        <f t="shared" si="9"/>
        <v>2.5</v>
      </c>
      <c r="N22" s="42">
        <v>1</v>
      </c>
      <c r="O22" s="42">
        <f t="shared" si="3"/>
        <v>0.2</v>
      </c>
      <c r="P22" s="42">
        <f t="shared" si="4"/>
        <v>1</v>
      </c>
      <c r="Q22" s="42">
        <f t="shared" si="5"/>
        <v>0</v>
      </c>
      <c r="R22" s="42">
        <v>0</v>
      </c>
    </row>
    <row r="23" spans="1:18" x14ac:dyDescent="0.25">
      <c r="H23" s="49">
        <v>2</v>
      </c>
      <c r="I23" s="50">
        <f>P22</f>
        <v>1</v>
      </c>
      <c r="K23" s="42">
        <f t="shared" si="7"/>
        <v>1.5249999999999999</v>
      </c>
      <c r="L23" s="42">
        <f t="shared" si="8"/>
        <v>0.52500000000000002</v>
      </c>
      <c r="M23" s="42">
        <f t="shared" si="9"/>
        <v>2.5249999999999999</v>
      </c>
      <c r="N23" s="42">
        <v>1.05</v>
      </c>
      <c r="O23" s="42">
        <f t="shared" si="3"/>
        <v>0.2</v>
      </c>
      <c r="P23" s="42">
        <f t="shared" si="4"/>
        <v>1</v>
      </c>
      <c r="Q23" s="42">
        <f t="shared" si="5"/>
        <v>0</v>
      </c>
      <c r="R23" s="42">
        <v>0</v>
      </c>
    </row>
    <row r="24" spans="1:18" x14ac:dyDescent="0.25">
      <c r="D24" s="44" t="s">
        <v>61</v>
      </c>
      <c r="E24" s="45">
        <f>VTN</f>
        <v>0.25</v>
      </c>
      <c r="H24" s="44">
        <f>f0</f>
        <v>0.7</v>
      </c>
      <c r="I24" s="45">
        <f>P10</f>
        <v>1.3910388768409998E-3</v>
      </c>
      <c r="K24" s="42">
        <f t="shared" si="7"/>
        <v>1.55</v>
      </c>
      <c r="L24" s="42">
        <f t="shared" si="8"/>
        <v>0.55000000000000004</v>
      </c>
      <c r="M24" s="42">
        <f t="shared" si="9"/>
        <v>2.5499999999999998</v>
      </c>
      <c r="N24" s="42">
        <v>1.1000000000000001</v>
      </c>
      <c r="O24" s="42">
        <f t="shared" si="3"/>
        <v>0.2</v>
      </c>
      <c r="P24" s="42">
        <f t="shared" si="4"/>
        <v>1</v>
      </c>
      <c r="Q24" s="42">
        <f t="shared" si="5"/>
        <v>0</v>
      </c>
      <c r="R24" s="42">
        <v>0</v>
      </c>
    </row>
    <row r="25" spans="1:18" x14ac:dyDescent="0.25">
      <c r="D25" s="47" t="s">
        <v>18</v>
      </c>
      <c r="E25" s="48">
        <f>VDD+VTP</f>
        <v>0.75</v>
      </c>
      <c r="H25" s="49">
        <v>2</v>
      </c>
      <c r="I25" s="50">
        <f>P11</f>
        <v>1.3910388768409998E-3</v>
      </c>
      <c r="K25" s="42">
        <f t="shared" si="7"/>
        <v>1.575</v>
      </c>
      <c r="L25" s="42">
        <f t="shared" si="8"/>
        <v>0.57499999999999996</v>
      </c>
      <c r="M25" s="42">
        <f t="shared" si="9"/>
        <v>2.5750000000000002</v>
      </c>
      <c r="N25" s="42">
        <v>1.1499999999999999</v>
      </c>
      <c r="O25" s="42">
        <f t="shared" si="3"/>
        <v>0.28333333333333333</v>
      </c>
      <c r="P25" s="42">
        <f t="shared" si="4"/>
        <v>0.99761294257280397</v>
      </c>
      <c r="Q25" s="42">
        <f t="shared" si="5"/>
        <v>0</v>
      </c>
      <c r="R25" s="42">
        <v>1</v>
      </c>
    </row>
    <row r="26" spans="1:18" x14ac:dyDescent="0.25">
      <c r="A26" s="42" t="s">
        <v>11</v>
      </c>
      <c r="B26" s="42">
        <v>0.25</v>
      </c>
      <c r="C26" s="42" t="s">
        <v>2</v>
      </c>
      <c r="D26" s="49" t="s">
        <v>19</v>
      </c>
      <c r="E26" s="50">
        <f>kn/kp</f>
        <v>2</v>
      </c>
      <c r="G26" s="42">
        <v>1</v>
      </c>
      <c r="H26" s="42">
        <v>2</v>
      </c>
      <c r="I26" s="42">
        <v>0</v>
      </c>
      <c r="K26" s="42">
        <f t="shared" si="7"/>
        <v>1.6</v>
      </c>
      <c r="L26" s="42">
        <f t="shared" si="8"/>
        <v>0.6</v>
      </c>
      <c r="M26" s="42">
        <f t="shared" si="9"/>
        <v>2.6</v>
      </c>
      <c r="N26" s="42">
        <v>1.2</v>
      </c>
      <c r="O26" s="42">
        <f t="shared" si="3"/>
        <v>0.3666666666666667</v>
      </c>
      <c r="P26" s="42">
        <f t="shared" si="4"/>
        <v>0.96267565820044498</v>
      </c>
      <c r="Q26" s="42">
        <f t="shared" si="5"/>
        <v>0</v>
      </c>
      <c r="R26" s="42">
        <v>2</v>
      </c>
    </row>
    <row r="27" spans="1:18" x14ac:dyDescent="0.25">
      <c r="A27" s="42" t="s">
        <v>16</v>
      </c>
      <c r="B27" s="42">
        <v>-0.25</v>
      </c>
      <c r="C27" s="42" t="s">
        <v>2</v>
      </c>
      <c r="G27" s="42">
        <v>1</v>
      </c>
      <c r="H27" s="42">
        <v>2</v>
      </c>
      <c r="I27" s="42">
        <v>1</v>
      </c>
      <c r="K27" s="42">
        <f t="shared" si="7"/>
        <v>1.625</v>
      </c>
      <c r="L27" s="42">
        <f t="shared" si="8"/>
        <v>0.625</v>
      </c>
      <c r="M27" s="42">
        <f t="shared" si="9"/>
        <v>2.625</v>
      </c>
      <c r="N27" s="42">
        <v>1.25</v>
      </c>
      <c r="O27" s="42">
        <f t="shared" si="3"/>
        <v>0.45</v>
      </c>
      <c r="P27" s="42">
        <f t="shared" si="4"/>
        <v>0.8</v>
      </c>
      <c r="Q27" s="42">
        <f t="shared" si="5"/>
        <v>0</v>
      </c>
      <c r="R27" s="42">
        <v>3</v>
      </c>
    </row>
    <row r="28" spans="1:18" x14ac:dyDescent="0.25">
      <c r="K28" s="42">
        <f t="shared" si="7"/>
        <v>1.65</v>
      </c>
      <c r="L28" s="42">
        <f t="shared" si="8"/>
        <v>0.65</v>
      </c>
      <c r="M28" s="42">
        <f t="shared" si="9"/>
        <v>2.65</v>
      </c>
      <c r="N28" s="42">
        <v>1.3</v>
      </c>
      <c r="O28" s="42">
        <f t="shared" si="3"/>
        <v>0.53333333333333333</v>
      </c>
      <c r="P28" s="42">
        <f t="shared" si="4"/>
        <v>4.4994172565415158E-2</v>
      </c>
      <c r="Q28" s="42">
        <f t="shared" si="5"/>
        <v>1</v>
      </c>
      <c r="R28" s="42">
        <v>4</v>
      </c>
    </row>
    <row r="29" spans="1:18" x14ac:dyDescent="0.25">
      <c r="A29" s="42" t="s">
        <v>0</v>
      </c>
      <c r="B29" s="42">
        <v>1</v>
      </c>
      <c r="C29" s="42" t="s">
        <v>2</v>
      </c>
      <c r="K29" s="42">
        <f t="shared" si="7"/>
        <v>1.675</v>
      </c>
      <c r="L29" s="42">
        <f t="shared" si="8"/>
        <v>0.67500000000000004</v>
      </c>
      <c r="M29" s="42">
        <f t="shared" si="9"/>
        <v>2.6749999999999998</v>
      </c>
      <c r="N29" s="42">
        <v>1.35</v>
      </c>
      <c r="O29" s="42">
        <f t="shared" si="3"/>
        <v>0.6166666666666667</v>
      </c>
      <c r="P29" s="42">
        <f t="shared" si="4"/>
        <v>1.2328472908844978E-2</v>
      </c>
      <c r="Q29" s="42">
        <f t="shared" si="5"/>
        <v>1</v>
      </c>
      <c r="R29" s="42">
        <v>5</v>
      </c>
    </row>
    <row r="30" spans="1:18" x14ac:dyDescent="0.25">
      <c r="A30" s="42" t="s">
        <v>12</v>
      </c>
      <c r="B30" s="42">
        <f>(VDD+VTP+SQRT(x0)*VTN)/(1+SQRT(x0))</f>
        <v>0.45710678118654752</v>
      </c>
      <c r="K30" s="42">
        <f t="shared" si="7"/>
        <v>1.7</v>
      </c>
      <c r="L30" s="42">
        <f t="shared" si="8"/>
        <v>0.7</v>
      </c>
      <c r="M30" s="42">
        <f t="shared" si="9"/>
        <v>2.7</v>
      </c>
      <c r="N30" s="42">
        <v>1.4</v>
      </c>
      <c r="O30" s="42">
        <f t="shared" si="3"/>
        <v>0.7</v>
      </c>
      <c r="P30" s="42">
        <f t="shared" si="4"/>
        <v>1.3910388768409998E-3</v>
      </c>
      <c r="Q30" s="42">
        <f t="shared" si="5"/>
        <v>1</v>
      </c>
      <c r="R30" s="42">
        <v>6</v>
      </c>
    </row>
    <row r="31" spans="1:18" x14ac:dyDescent="0.25">
      <c r="E31" s="42" t="s">
        <v>32</v>
      </c>
      <c r="F31" s="42">
        <f>VIL0</f>
        <v>0.38245553203367588</v>
      </c>
      <c r="G31" s="42">
        <v>0</v>
      </c>
      <c r="K31" s="42">
        <f t="shared" si="7"/>
        <v>1.7250000000000001</v>
      </c>
      <c r="L31" s="42">
        <f t="shared" si="8"/>
        <v>0.72499999999999998</v>
      </c>
      <c r="M31" s="42">
        <f t="shared" si="9"/>
        <v>2.7250000000000001</v>
      </c>
      <c r="N31" s="42">
        <v>1.45</v>
      </c>
      <c r="O31" s="42">
        <f t="shared" si="3"/>
        <v>0.7</v>
      </c>
      <c r="P31" s="42">
        <f t="shared" si="4"/>
        <v>1.3910388768409998E-3</v>
      </c>
      <c r="Q31" s="42">
        <f t="shared" si="5"/>
        <v>1</v>
      </c>
      <c r="R31" s="42">
        <v>6</v>
      </c>
    </row>
    <row r="32" spans="1:18" x14ac:dyDescent="0.25">
      <c r="F32" s="42">
        <f>VIL0</f>
        <v>0.38245553203367588</v>
      </c>
      <c r="G32" s="42">
        <v>1</v>
      </c>
      <c r="K32" s="42">
        <f t="shared" si="7"/>
        <v>1.75</v>
      </c>
      <c r="L32" s="42">
        <f t="shared" si="8"/>
        <v>0.75</v>
      </c>
      <c r="M32" s="42">
        <f t="shared" si="9"/>
        <v>2.75</v>
      </c>
      <c r="N32" s="42">
        <v>1.5</v>
      </c>
      <c r="O32" s="42">
        <f t="shared" si="3"/>
        <v>0.7</v>
      </c>
      <c r="P32" s="42">
        <f t="shared" si="4"/>
        <v>1.3910388768409998E-3</v>
      </c>
      <c r="Q32" s="42">
        <f t="shared" si="5"/>
        <v>1</v>
      </c>
      <c r="R32" s="42">
        <v>6</v>
      </c>
    </row>
    <row r="33" spans="1:18" x14ac:dyDescent="0.25">
      <c r="A33" s="42" t="s">
        <v>5</v>
      </c>
      <c r="B33" s="42" t="s">
        <v>6</v>
      </c>
      <c r="C33" s="42" t="s">
        <v>7</v>
      </c>
      <c r="D33" s="42" t="s">
        <v>8</v>
      </c>
      <c r="E33" s="42" t="s">
        <v>33</v>
      </c>
      <c r="F33" s="42">
        <f>VIH0</f>
        <v>0.5059289460184544</v>
      </c>
      <c r="G33" s="42">
        <v>0</v>
      </c>
      <c r="K33" s="42">
        <f t="shared" si="7"/>
        <v>1.7749999999999999</v>
      </c>
      <c r="L33" s="42">
        <f t="shared" si="8"/>
        <v>0.77500000000000002</v>
      </c>
      <c r="M33" s="42">
        <f t="shared" si="9"/>
        <v>2.7749999999999999</v>
      </c>
      <c r="N33" s="42">
        <v>1.55</v>
      </c>
      <c r="O33" s="42">
        <f t="shared" si="3"/>
        <v>0.7</v>
      </c>
      <c r="P33" s="42">
        <f t="shared" si="4"/>
        <v>1.3910388768409998E-3</v>
      </c>
      <c r="Q33" s="42">
        <f t="shared" si="5"/>
        <v>1</v>
      </c>
      <c r="R33" s="42">
        <v>6</v>
      </c>
    </row>
    <row r="34" spans="1:18" x14ac:dyDescent="0.25">
      <c r="A34" s="42">
        <f>IF(x0=1,(5*a0+3*b0)/8,IF(x0&lt;1,C34-SQRT(C34^2-(3*b0^2-4*x0*a0^2-x0^2*a0^2+2*x0*a0*b0)/(3-2*x0-x0*x0)),C34+SQRT(C34^2-(3*b0^2-4*x0*a0^2-x0^2*a0^2+2*x0*a0*b0)/(3-2*x0-x0*x0))))</f>
        <v>0.38245553203367588</v>
      </c>
      <c r="B34" s="42">
        <f>IF(x0=1,VD-(b0-a0)/8,VIL0-VP+SQRT((VIL0-b0)^2-x0*(VIL0-a0)^2))</f>
        <v>0.94868329805051377</v>
      </c>
      <c r="C34" s="42">
        <f>(a0*x0-b0)/(x0-1)</f>
        <v>-0.25</v>
      </c>
      <c r="D34" s="42">
        <f>1+(a0*x0-b0+V00*(1-x0))/SQRT((V00-b0)^2-x0*(V00-a0)^2)</f>
        <v>-1.0000000000000004</v>
      </c>
      <c r="F34" s="42">
        <f>VIH0</f>
        <v>0.5059289460184544</v>
      </c>
      <c r="G34" s="42">
        <v>1</v>
      </c>
      <c r="K34" s="42">
        <f t="shared" si="7"/>
        <v>1.8</v>
      </c>
      <c r="L34" s="42">
        <f t="shared" si="8"/>
        <v>0.8</v>
      </c>
      <c r="M34" s="42">
        <f t="shared" si="9"/>
        <v>2.8</v>
      </c>
      <c r="N34" s="42">
        <v>1.6</v>
      </c>
      <c r="O34" s="42">
        <f t="shared" si="3"/>
        <v>0.7</v>
      </c>
      <c r="P34" s="42">
        <f t="shared" si="4"/>
        <v>1.3910388768409998E-3</v>
      </c>
      <c r="Q34" s="42">
        <f t="shared" si="5"/>
        <v>1</v>
      </c>
      <c r="R34" s="42">
        <v>6</v>
      </c>
    </row>
    <row r="35" spans="1:18" x14ac:dyDescent="0.25">
      <c r="A35" s="42">
        <f>IF(x0=1,(5*b0+3*a0)/8,IF(x0&lt;1,C35-SQRT(C35^2-(3*a0^2*x0^2-4*x0*b0^2-b0^2+2*x0*a0*b0)/(3*x0+1)/(x0-1)),C35+SQRT(C35^2-(3*a0^2*x0^2-4*x0*b0^2-b0^2+2*x0*a0*b0)/(3*x0+1)/(x0-1))))</f>
        <v>0.5059289460184544</v>
      </c>
      <c r="B35" s="42">
        <f>IF(x0=1,(b0-a0)/8,VIH0-VN-SQRT((VIH0-VN)^2-1/x0*(VIH0-b0)^2))</f>
        <v>6.6946709513840907E-2</v>
      </c>
      <c r="C35" s="42">
        <f>(a0*x0-b0)/(x0-1)</f>
        <v>-0.25</v>
      </c>
      <c r="D35" s="42">
        <f>1+(a0-b0/x0-V00*(1-1/x0))/SQRT((V00-a0)^2-1/x0*(V00-b0)^2)</f>
        <v>-1.0000000000000013</v>
      </c>
      <c r="E35" s="42" t="s">
        <v>32</v>
      </c>
      <c r="F35" s="42">
        <v>0</v>
      </c>
      <c r="G35" s="42">
        <f>VOH</f>
        <v>0.94868329805051377</v>
      </c>
      <c r="K35" s="42">
        <f t="shared" si="7"/>
        <v>1.825</v>
      </c>
      <c r="L35" s="42">
        <f t="shared" si="8"/>
        <v>0.82499999999999996</v>
      </c>
      <c r="M35" s="42">
        <f t="shared" si="9"/>
        <v>2.8250000000000002</v>
      </c>
      <c r="N35" s="42">
        <v>1.65</v>
      </c>
      <c r="O35" s="42">
        <f t="shared" si="3"/>
        <v>0.7</v>
      </c>
      <c r="P35" s="42">
        <f t="shared" si="4"/>
        <v>1.3910388768409998E-3</v>
      </c>
      <c r="Q35" s="42">
        <f t="shared" si="5"/>
        <v>1</v>
      </c>
      <c r="R35" s="42">
        <v>6</v>
      </c>
    </row>
    <row r="36" spans="1:18" x14ac:dyDescent="0.25">
      <c r="A36" s="42" t="s">
        <v>13</v>
      </c>
      <c r="C36" s="42" t="s">
        <v>14</v>
      </c>
      <c r="F36" s="42">
        <v>3</v>
      </c>
      <c r="G36" s="42">
        <f>VOH</f>
        <v>0.94868329805051377</v>
      </c>
      <c r="K36" s="42">
        <f t="shared" si="7"/>
        <v>1.85</v>
      </c>
      <c r="L36" s="42">
        <f t="shared" si="8"/>
        <v>0.85</v>
      </c>
      <c r="M36" s="42">
        <f t="shared" si="9"/>
        <v>2.85</v>
      </c>
      <c r="N36" s="42">
        <v>1.7</v>
      </c>
      <c r="O36" s="42">
        <f t="shared" si="3"/>
        <v>0.6166666666666667</v>
      </c>
      <c r="P36" s="42">
        <f t="shared" si="4"/>
        <v>1.2328472908844978E-2</v>
      </c>
      <c r="Q36" s="42">
        <f t="shared" si="5"/>
        <v>1</v>
      </c>
      <c r="R36" s="42">
        <v>5</v>
      </c>
    </row>
    <row r="37" spans="1:18" x14ac:dyDescent="0.25">
      <c r="A37" s="42">
        <f>VOL</f>
        <v>6.6946709513840907E-2</v>
      </c>
      <c r="B37" s="42">
        <f>VIH0</f>
        <v>0.5059289460184544</v>
      </c>
      <c r="C37" s="42">
        <f>VIH0</f>
        <v>0.5059289460184544</v>
      </c>
      <c r="D37" s="42">
        <f>VOL</f>
        <v>6.6946709513840907E-2</v>
      </c>
      <c r="E37" s="42" t="s">
        <v>33</v>
      </c>
      <c r="F37" s="42">
        <v>0</v>
      </c>
      <c r="G37" s="42">
        <f>VOL</f>
        <v>6.6946709513840907E-2</v>
      </c>
      <c r="K37" s="42">
        <f t="shared" si="7"/>
        <v>1.875</v>
      </c>
      <c r="L37" s="42">
        <f t="shared" si="8"/>
        <v>0.875</v>
      </c>
      <c r="M37" s="42">
        <f t="shared" si="9"/>
        <v>2.875</v>
      </c>
      <c r="N37" s="42">
        <v>1.75</v>
      </c>
      <c r="O37" s="42">
        <f t="shared" si="3"/>
        <v>0.53333333333333333</v>
      </c>
      <c r="P37" s="42">
        <f t="shared" si="4"/>
        <v>4.4994172565415158E-2</v>
      </c>
      <c r="Q37" s="42">
        <f t="shared" si="5"/>
        <v>1</v>
      </c>
      <c r="R37" s="42">
        <v>4</v>
      </c>
    </row>
    <row r="38" spans="1:18" x14ac:dyDescent="0.25">
      <c r="A38" s="42">
        <f>VIL0</f>
        <v>0.38245553203367588</v>
      </c>
      <c r="B38" s="42">
        <f>VIH0</f>
        <v>0.5059289460184544</v>
      </c>
      <c r="C38" s="42">
        <f>VOH</f>
        <v>0.94868329805051377</v>
      </c>
      <c r="D38" s="42">
        <f>VOL</f>
        <v>6.6946709513840907E-2</v>
      </c>
      <c r="F38" s="42">
        <v>3</v>
      </c>
      <c r="G38" s="42">
        <f>VOL</f>
        <v>6.6946709513840907E-2</v>
      </c>
      <c r="K38" s="42">
        <f t="shared" si="7"/>
        <v>1.9</v>
      </c>
      <c r="L38" s="42">
        <f t="shared" si="8"/>
        <v>0.9</v>
      </c>
      <c r="M38" s="42">
        <f t="shared" si="9"/>
        <v>2.9</v>
      </c>
      <c r="N38" s="42">
        <v>1.8</v>
      </c>
      <c r="O38" s="42">
        <f t="shared" si="3"/>
        <v>0.45</v>
      </c>
      <c r="P38" s="42">
        <f t="shared" si="4"/>
        <v>0.8</v>
      </c>
      <c r="Q38" s="42">
        <f t="shared" si="5"/>
        <v>0</v>
      </c>
      <c r="R38" s="42">
        <v>3</v>
      </c>
    </row>
    <row r="39" spans="1:18" x14ac:dyDescent="0.25">
      <c r="A39" s="42">
        <f>VIL0</f>
        <v>0.38245553203367588</v>
      </c>
      <c r="B39" s="42">
        <f>VOH</f>
        <v>0.94868329805051377</v>
      </c>
      <c r="C39" s="42">
        <f>VOH</f>
        <v>0.94868329805051377</v>
      </c>
      <c r="D39" s="42">
        <f>VIL0</f>
        <v>0.38245553203367588</v>
      </c>
      <c r="K39" s="42">
        <f t="shared" si="7"/>
        <v>1.925</v>
      </c>
      <c r="L39" s="42">
        <f t="shared" si="8"/>
        <v>0.92500000000000004</v>
      </c>
      <c r="M39" s="42">
        <f t="shared" si="9"/>
        <v>2.9249999999999998</v>
      </c>
      <c r="N39" s="42">
        <v>1.85</v>
      </c>
      <c r="O39" s="42">
        <f t="shared" si="3"/>
        <v>0.3666666666666667</v>
      </c>
      <c r="P39" s="42">
        <f t="shared" si="4"/>
        <v>0.96267565820044498</v>
      </c>
      <c r="Q39" s="42">
        <f t="shared" si="5"/>
        <v>0</v>
      </c>
      <c r="R39" s="42">
        <v>2</v>
      </c>
    </row>
    <row r="40" spans="1:18" x14ac:dyDescent="0.25">
      <c r="A40" s="42">
        <f>VOL</f>
        <v>6.6946709513840907E-2</v>
      </c>
      <c r="B40" s="42">
        <f>VOH</f>
        <v>0.94868329805051377</v>
      </c>
      <c r="C40" s="42">
        <f>VIH0</f>
        <v>0.5059289460184544</v>
      </c>
      <c r="D40" s="42">
        <f>VIL0</f>
        <v>0.38245553203367588</v>
      </c>
      <c r="K40" s="42">
        <f t="shared" si="7"/>
        <v>1.95</v>
      </c>
      <c r="L40" s="42">
        <f t="shared" si="8"/>
        <v>0.95</v>
      </c>
      <c r="M40" s="42">
        <f t="shared" si="9"/>
        <v>2.95</v>
      </c>
      <c r="N40" s="42">
        <v>1.9</v>
      </c>
      <c r="O40" s="42">
        <f t="shared" si="3"/>
        <v>0.28333333333333333</v>
      </c>
      <c r="P40" s="42">
        <f t="shared" si="4"/>
        <v>0.99761294257280397</v>
      </c>
      <c r="Q40" s="42">
        <f t="shared" si="5"/>
        <v>0</v>
      </c>
      <c r="R40" s="42">
        <v>1</v>
      </c>
    </row>
    <row r="41" spans="1:18" x14ac:dyDescent="0.25">
      <c r="A41" s="42">
        <f>VOL</f>
        <v>6.6946709513840907E-2</v>
      </c>
      <c r="B41" s="42">
        <f>VIH0</f>
        <v>0.5059289460184544</v>
      </c>
      <c r="C41" s="42">
        <f>VIH0</f>
        <v>0.5059289460184544</v>
      </c>
      <c r="D41" s="42">
        <f>VOL</f>
        <v>6.6946709513840907E-2</v>
      </c>
      <c r="K41" s="42">
        <f t="shared" si="7"/>
        <v>1.9750000000000001</v>
      </c>
      <c r="L41" s="42">
        <f t="shared" si="8"/>
        <v>0.97499999999999998</v>
      </c>
      <c r="M41" s="42">
        <f t="shared" si="9"/>
        <v>2.9750000000000001</v>
      </c>
      <c r="N41" s="42">
        <v>1.95</v>
      </c>
      <c r="O41" s="42">
        <f t="shared" si="3"/>
        <v>0.2</v>
      </c>
      <c r="P41" s="42">
        <f t="shared" si="4"/>
        <v>1</v>
      </c>
      <c r="Q41" s="42">
        <f t="shared" si="5"/>
        <v>0</v>
      </c>
      <c r="R41" s="42">
        <v>0</v>
      </c>
    </row>
    <row r="42" spans="1:18" x14ac:dyDescent="0.25">
      <c r="K42" s="42">
        <f t="shared" si="7"/>
        <v>2</v>
      </c>
      <c r="L42" s="42">
        <f t="shared" si="8"/>
        <v>1</v>
      </c>
      <c r="M42" s="42">
        <f t="shared" si="9"/>
        <v>3</v>
      </c>
      <c r="N42" s="42">
        <v>2</v>
      </c>
      <c r="O42" s="42">
        <f t="shared" si="3"/>
        <v>0.2</v>
      </c>
      <c r="P42" s="42">
        <f t="shared" si="4"/>
        <v>1</v>
      </c>
      <c r="Q42" s="42">
        <f t="shared" si="5"/>
        <v>0</v>
      </c>
      <c r="R42" s="42">
        <v>0</v>
      </c>
    </row>
  </sheetData>
  <mergeCells count="1">
    <mergeCell ref="K1:M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31</vt:i4>
      </vt:variant>
    </vt:vector>
  </HeadingPairs>
  <TitlesOfParts>
    <vt:vector size="36" baseType="lpstr">
      <vt:lpstr>VTC-1</vt:lpstr>
      <vt:lpstr>VTC-2 </vt:lpstr>
      <vt:lpstr>NOISE MARGINS</vt:lpstr>
      <vt:lpstr>STATIC CURRENT</vt:lpstr>
      <vt:lpstr>CALCULATION PAGE</vt:lpstr>
      <vt:lpstr>a0</vt:lpstr>
      <vt:lpstr>b0</vt:lpstr>
      <vt:lpstr>f0</vt:lpstr>
      <vt:lpstr>g0</vt:lpstr>
      <vt:lpstr>kkn</vt:lpstr>
      <vt:lpstr>kkp</vt:lpstr>
      <vt:lpstr>kn</vt:lpstr>
      <vt:lpstr>kp</vt:lpstr>
      <vt:lpstr>O0</vt:lpstr>
      <vt:lpstr>s0</vt:lpstr>
      <vt:lpstr>V00</vt:lpstr>
      <vt:lpstr>VD</vt:lpstr>
      <vt:lpstr>VDD</vt:lpstr>
      <vt:lpstr>VI</vt:lpstr>
      <vt:lpstr>VIH0</vt:lpstr>
      <vt:lpstr>VIL0</vt:lpstr>
      <vt:lpstr>VIN</vt:lpstr>
      <vt:lpstr>VIN0</vt:lpstr>
      <vt:lpstr>VINN</vt:lpstr>
      <vt:lpstr>VN</vt:lpstr>
      <vt:lpstr>VO</vt:lpstr>
      <vt:lpstr>VOH</vt:lpstr>
      <vt:lpstr>VOL</vt:lpstr>
      <vt:lpstr>VP</vt:lpstr>
      <vt:lpstr>VSW</vt:lpstr>
      <vt:lpstr>VSW0</vt:lpstr>
      <vt:lpstr>VSWW</vt:lpstr>
      <vt:lpstr>VTN</vt:lpstr>
      <vt:lpstr>VTP</vt:lpstr>
      <vt:lpstr>x</vt:lpstr>
      <vt:lpstr>x0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Jeppson</dc:creator>
  <cp:lastModifiedBy>Kjell Jeppson</cp:lastModifiedBy>
  <dcterms:created xsi:type="dcterms:W3CDTF">2013-08-26T07:07:16Z</dcterms:created>
  <dcterms:modified xsi:type="dcterms:W3CDTF">2018-09-11T19:23:04Z</dcterms:modified>
</cp:coreProperties>
</file>