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3117"/>
  <workbookPr autoCompressPictures="0"/>
  <bookViews>
    <workbookView xWindow="640" yWindow="960" windowWidth="24560" windowHeight="15020" tabRatio="697" activeTab="3"/>
  </bookViews>
  <sheets>
    <sheet name="1. Ripple carry adder" sheetId="35" r:id="rId1"/>
    <sheet name="2. PROP adder" sheetId="58" r:id="rId2"/>
    <sheet name="3. PROP ADDER w BLOCK-P" sheetId="59" r:id="rId3"/>
    <sheet name="8-bit Sklansky" sheetId="61" r:id="rId4"/>
    <sheet name="16-bit Sklansky" sheetId="57" r:id="rId5"/>
    <sheet name="tree adder of your choice" sheetId="62" r:id="rId6"/>
    <sheet name="prefix tree adders" sheetId="47" r:id="rId7"/>
  </sheets>
  <definedNames>
    <definedName name="A">#REF!</definedName>
    <definedName name="A0">'2. PROP adder'!$U$3:$U$10</definedName>
    <definedName name="B">#REF!</definedName>
    <definedName name="B0">'2. PROP adder'!$V$3:$V$10</definedName>
    <definedName name="CIN">#REF!</definedName>
    <definedName name="CIN0">'2. PROP adder'!$W$3:$W$10</definedName>
    <definedName name="COUT">#REF!</definedName>
    <definedName name="G">#REF!</definedName>
    <definedName name="G0">'2. PROP adder'!$AA$3:$AA$10</definedName>
    <definedName name="N">#REF!</definedName>
    <definedName name="n0">#REF!</definedName>
    <definedName name="NN">#REF!</definedName>
    <definedName name="nno">#REF!</definedName>
    <definedName name="no">#REF!</definedName>
    <definedName name="P">#REF!</definedName>
    <definedName name="P0">'2. PROP adder'!$Z$3:$Z$10</definedName>
    <definedName name="tao">#REF!</definedName>
    <definedName name="tmux">#REF!</definedName>
    <definedName name="tpg">#REF!</definedName>
    <definedName name="ttao">#REF!</definedName>
    <definedName name="ttp">#REF!</definedName>
    <definedName name="ttpg">#REF!</definedName>
    <definedName name="ttxor">#REF!</definedName>
    <definedName name="txor">#REF!</definedName>
  </definedNames>
  <calcPr calcId="17902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23" i="61" l="1"/>
  <c r="S15" i="61"/>
  <c r="C9" i="61"/>
  <c r="M5" i="61"/>
  <c r="J4" i="61"/>
  <c r="N9" i="61"/>
  <c r="J3" i="61"/>
  <c r="Q9" i="61"/>
  <c r="AI15" i="57"/>
  <c r="AC3" i="35"/>
  <c r="S16" i="59"/>
  <c r="T16" i="59"/>
  <c r="C11" i="59"/>
  <c r="M7" i="59"/>
  <c r="J6" i="59"/>
  <c r="R11" i="59"/>
  <c r="J5" i="59"/>
  <c r="O11" i="59"/>
  <c r="R9" i="61"/>
  <c r="Q23" i="61"/>
  <c r="F9" i="61"/>
  <c r="L9" i="61"/>
  <c r="I9" i="61"/>
  <c r="O9" i="61"/>
  <c r="D9" i="61"/>
  <c r="G9" i="61"/>
  <c r="J9" i="61"/>
  <c r="M9" i="61"/>
  <c r="P9" i="61"/>
  <c r="E9" i="61"/>
  <c r="H9" i="61"/>
  <c r="K9" i="61"/>
  <c r="D11" i="59"/>
  <c r="G11" i="59"/>
  <c r="J11" i="59"/>
  <c r="M11" i="59"/>
  <c r="P11" i="59"/>
  <c r="P14" i="59"/>
  <c r="E11" i="59"/>
  <c r="H11" i="59"/>
  <c r="K11" i="59"/>
  <c r="N11" i="59"/>
  <c r="Q11" i="59"/>
  <c r="R14" i="59"/>
  <c r="F11" i="59"/>
  <c r="I11" i="59"/>
  <c r="L11" i="59"/>
  <c r="C11" i="58"/>
  <c r="S16" i="58"/>
  <c r="M7" i="58"/>
  <c r="J6" i="58"/>
  <c r="P11" i="58"/>
  <c r="J5" i="58"/>
  <c r="I11" i="58"/>
  <c r="Z4" i="58"/>
  <c r="AD4" i="58"/>
  <c r="Z5" i="58"/>
  <c r="AD5" i="58"/>
  <c r="Z6" i="58"/>
  <c r="AD6" i="58"/>
  <c r="Z7" i="58"/>
  <c r="AD7" i="58"/>
  <c r="Z8" i="58"/>
  <c r="AD8" i="58"/>
  <c r="Z9" i="58"/>
  <c r="AD9" i="58"/>
  <c r="Z10" i="58"/>
  <c r="AD10" i="58"/>
  <c r="Z3" i="58"/>
  <c r="AD3" i="58"/>
  <c r="AA4" i="58"/>
  <c r="AA5" i="58"/>
  <c r="AA6" i="58"/>
  <c r="AA7" i="58"/>
  <c r="AA8" i="58"/>
  <c r="AA9" i="58"/>
  <c r="AA10" i="58"/>
  <c r="AA3" i="58"/>
  <c r="D24" i="35"/>
  <c r="C24" i="35"/>
  <c r="Q25" i="61"/>
  <c r="O23" i="61"/>
  <c r="M23" i="61"/>
  <c r="AB5" i="58"/>
  <c r="R10" i="61"/>
  <c r="Q10" i="61"/>
  <c r="Q12" i="61"/>
  <c r="L12" i="61"/>
  <c r="K12" i="61"/>
  <c r="M12" i="61"/>
  <c r="N12" i="61"/>
  <c r="C12" i="61"/>
  <c r="P12" i="61"/>
  <c r="O12" i="61"/>
  <c r="F12" i="61"/>
  <c r="E12" i="61"/>
  <c r="G12" i="61"/>
  <c r="H12" i="61"/>
  <c r="J12" i="61"/>
  <c r="I12" i="61"/>
  <c r="D12" i="61"/>
  <c r="Q14" i="59"/>
  <c r="N14" i="59"/>
  <c r="M14" i="59"/>
  <c r="E14" i="59"/>
  <c r="F14" i="59"/>
  <c r="O14" i="59"/>
  <c r="D14" i="59"/>
  <c r="C14" i="59"/>
  <c r="J14" i="59"/>
  <c r="I14" i="59"/>
  <c r="K14" i="59"/>
  <c r="L14" i="59"/>
  <c r="H14" i="59"/>
  <c r="G14" i="59"/>
  <c r="AB8" i="58"/>
  <c r="O11" i="58"/>
  <c r="O14" i="58"/>
  <c r="G11" i="58"/>
  <c r="H11" i="58"/>
  <c r="N11" i="58"/>
  <c r="Q11" i="58"/>
  <c r="K11" i="58"/>
  <c r="E11" i="58"/>
  <c r="J11" i="58"/>
  <c r="J14" i="58"/>
  <c r="D11" i="58"/>
  <c r="D14" i="58"/>
  <c r="M11" i="58"/>
  <c r="N14" i="58"/>
  <c r="F11" i="58"/>
  <c r="L11" i="58"/>
  <c r="R11" i="58"/>
  <c r="AB10" i="58"/>
  <c r="AB7" i="58"/>
  <c r="AB4" i="58"/>
  <c r="AB9" i="58"/>
  <c r="AB6" i="58"/>
  <c r="AB3" i="58"/>
  <c r="O25" i="61"/>
  <c r="K23" i="61"/>
  <c r="M25" i="61"/>
  <c r="O16" i="61"/>
  <c r="R12" i="61"/>
  <c r="Q16" i="61"/>
  <c r="M16" i="61"/>
  <c r="Q17" i="59"/>
  <c r="O17" i="59"/>
  <c r="H14" i="58"/>
  <c r="C14" i="58"/>
  <c r="G14" i="58"/>
  <c r="R14" i="58"/>
  <c r="Q17" i="58"/>
  <c r="Q14" i="58"/>
  <c r="M14" i="58"/>
  <c r="P14" i="58"/>
  <c r="I14" i="58"/>
  <c r="E14" i="58"/>
  <c r="F14" i="58"/>
  <c r="K14" i="58"/>
  <c r="L14" i="58"/>
  <c r="AF22" i="57"/>
  <c r="AI23" i="57"/>
  <c r="C8" i="57"/>
  <c r="AC4" i="57"/>
  <c r="Z3" i="57"/>
  <c r="Z2" i="57"/>
  <c r="K16" i="61"/>
  <c r="I23" i="61"/>
  <c r="K25" i="61"/>
  <c r="AF8" i="57"/>
  <c r="R8" i="57"/>
  <c r="O8" i="57"/>
  <c r="U8" i="57"/>
  <c r="L8" i="57"/>
  <c r="X8" i="57"/>
  <c r="F8" i="57"/>
  <c r="AD8" i="57"/>
  <c r="AG8" i="57"/>
  <c r="AC8" i="57"/>
  <c r="W8" i="57"/>
  <c r="Q8" i="57"/>
  <c r="K8" i="57"/>
  <c r="E8" i="57"/>
  <c r="AE8" i="57"/>
  <c r="Y8" i="57"/>
  <c r="S8" i="57"/>
  <c r="M8" i="57"/>
  <c r="G8" i="57"/>
  <c r="I8" i="57"/>
  <c r="AA8" i="57"/>
  <c r="D8" i="57"/>
  <c r="J8" i="57"/>
  <c r="P8" i="57"/>
  <c r="V8" i="57"/>
  <c r="AB8" i="57"/>
  <c r="AH8" i="57"/>
  <c r="AG9" i="57"/>
  <c r="H8" i="57"/>
  <c r="N8" i="57"/>
  <c r="T8" i="57"/>
  <c r="Z8" i="57"/>
  <c r="C10" i="35"/>
  <c r="J5" i="35"/>
  <c r="J4" i="35"/>
  <c r="I16" i="61"/>
  <c r="G23" i="61"/>
  <c r="I25" i="61"/>
  <c r="G16" i="61"/>
  <c r="E16" i="61"/>
  <c r="C16" i="61"/>
  <c r="R6" i="61"/>
  <c r="Q10" i="35"/>
  <c r="M24" i="35"/>
  <c r="G24" i="35"/>
  <c r="O24" i="35"/>
  <c r="I24" i="35"/>
  <c r="Q24" i="35"/>
  <c r="K24" i="35"/>
  <c r="E24" i="35"/>
  <c r="P10" i="35"/>
  <c r="P24" i="35"/>
  <c r="J24" i="35"/>
  <c r="R24" i="35"/>
  <c r="L24" i="35"/>
  <c r="F24" i="35"/>
  <c r="N24" i="35"/>
  <c r="H24" i="35"/>
  <c r="M17" i="59"/>
  <c r="O17" i="58"/>
  <c r="M17" i="58"/>
  <c r="K17" i="58"/>
  <c r="F10" i="35"/>
  <c r="L10" i="35"/>
  <c r="R10" i="35"/>
  <c r="H10" i="35"/>
  <c r="N10" i="35"/>
  <c r="D10" i="35"/>
  <c r="J10" i="35"/>
  <c r="O10" i="35"/>
  <c r="G10" i="35"/>
  <c r="I10" i="35"/>
  <c r="M10" i="35"/>
  <c r="O11" i="57"/>
  <c r="V11" i="57"/>
  <c r="U11" i="57"/>
  <c r="C11" i="57"/>
  <c r="J11" i="57"/>
  <c r="I11" i="57"/>
  <c r="S11" i="57"/>
  <c r="T11" i="57"/>
  <c r="F11" i="57"/>
  <c r="E11" i="57"/>
  <c r="X11" i="57"/>
  <c r="W11" i="57"/>
  <c r="D11" i="57"/>
  <c r="AB11" i="57"/>
  <c r="AA11" i="57"/>
  <c r="G11" i="57"/>
  <c r="H11" i="57"/>
  <c r="Y11" i="57"/>
  <c r="Z11" i="57"/>
  <c r="L11" i="57"/>
  <c r="K11" i="57"/>
  <c r="AD11" i="57"/>
  <c r="AC11" i="57"/>
  <c r="P11" i="57"/>
  <c r="M11" i="57"/>
  <c r="N11" i="57"/>
  <c r="AE11" i="57"/>
  <c r="AF11" i="57"/>
  <c r="R11" i="57"/>
  <c r="Q11" i="57"/>
  <c r="AH9" i="57"/>
  <c r="AG22" i="57"/>
  <c r="E10" i="35"/>
  <c r="K10" i="35"/>
  <c r="AG16" i="57"/>
  <c r="AG11" i="57"/>
  <c r="E23" i="61"/>
  <c r="G25" i="61"/>
  <c r="I6" i="61"/>
  <c r="N6" i="61"/>
  <c r="K17" i="59"/>
  <c r="I17" i="58"/>
  <c r="AH22" i="57"/>
  <c r="AG24" i="57"/>
  <c r="S11" i="35"/>
  <c r="C23" i="61"/>
  <c r="C25" i="61"/>
  <c r="R22" i="61"/>
  <c r="E25" i="61"/>
  <c r="AH11" i="57"/>
  <c r="AG15" i="57"/>
  <c r="AE16" i="57"/>
  <c r="I17" i="59"/>
  <c r="G17" i="58"/>
  <c r="AG23" i="57"/>
  <c r="AE24" i="57"/>
  <c r="I22" i="61"/>
  <c r="N22" i="61"/>
  <c r="AA15" i="57"/>
  <c r="Y16" i="57"/>
  <c r="W16" i="57"/>
  <c r="U16" i="57"/>
  <c r="S16" i="57"/>
  <c r="M16" i="57"/>
  <c r="AC15" i="57"/>
  <c r="AA16" i="57"/>
  <c r="AE15" i="57"/>
  <c r="AC16" i="57"/>
  <c r="G17" i="59"/>
  <c r="E17" i="58"/>
  <c r="AE23" i="57"/>
  <c r="AC23" i="57"/>
  <c r="AA23" i="57"/>
  <c r="Y23" i="57"/>
  <c r="W23" i="57"/>
  <c r="U23" i="57"/>
  <c r="S23" i="57"/>
  <c r="Q23" i="57"/>
  <c r="O23" i="57"/>
  <c r="M23" i="57"/>
  <c r="K23" i="57"/>
  <c r="I23" i="57"/>
  <c r="G23" i="57"/>
  <c r="E23" i="57"/>
  <c r="C23" i="57"/>
  <c r="O12" i="35"/>
  <c r="Q12" i="35"/>
  <c r="I16" i="57"/>
  <c r="K16" i="57"/>
  <c r="Q16" i="57"/>
  <c r="O16" i="57"/>
  <c r="C16" i="57"/>
  <c r="G16" i="57"/>
  <c r="E16" i="57"/>
  <c r="E17" i="59"/>
  <c r="C17" i="58"/>
  <c r="AC24" i="57"/>
  <c r="AA24" i="57"/>
  <c r="Y24" i="57"/>
  <c r="C17" i="59"/>
  <c r="R8" i="59"/>
  <c r="I8" i="58"/>
  <c r="N8" i="58"/>
  <c r="R8" i="58"/>
  <c r="AH5" i="57"/>
  <c r="M12" i="35"/>
  <c r="K12" i="35"/>
  <c r="W24" i="57"/>
  <c r="I8" i="59"/>
  <c r="N8" i="59"/>
  <c r="X5" i="57"/>
  <c r="AD5" i="57"/>
  <c r="I12" i="35"/>
  <c r="U24" i="57"/>
  <c r="G12" i="35"/>
  <c r="S24" i="57"/>
  <c r="E12" i="35"/>
  <c r="C12" i="35"/>
  <c r="R7" i="35"/>
  <c r="Q24" i="57"/>
  <c r="O24" i="57"/>
  <c r="M24" i="57"/>
  <c r="K24" i="57"/>
  <c r="I24" i="57"/>
  <c r="M6" i="35"/>
  <c r="G24" i="57"/>
  <c r="E24" i="57"/>
  <c r="C24" i="57"/>
  <c r="W22" i="57"/>
  <c r="AC22" i="57"/>
  <c r="I7" i="35"/>
  <c r="N7" i="35"/>
</calcChain>
</file>

<file path=xl/sharedStrings.xml><?xml version="1.0" encoding="utf-8"?>
<sst xmlns="http://schemas.openxmlformats.org/spreadsheetml/2006/main" count="764" uniqueCount="225">
  <si>
    <t>ADD=0</t>
  </si>
  <si>
    <t>A=</t>
  </si>
  <si>
    <t xml:space="preserve">CONTROL SIGNAL: </t>
  </si>
  <si>
    <t>SUB=1</t>
  </si>
  <si>
    <t>B=</t>
  </si>
  <si>
    <t>SUM=</t>
  </si>
  <si>
    <t>a7</t>
  </si>
  <si>
    <t>b7</t>
  </si>
  <si>
    <t>a6</t>
  </si>
  <si>
    <t>b6</t>
  </si>
  <si>
    <t>a5</t>
  </si>
  <si>
    <t>b5</t>
  </si>
  <si>
    <t>a4</t>
  </si>
  <si>
    <t>b4</t>
  </si>
  <si>
    <t>a3</t>
  </si>
  <si>
    <t>b3</t>
  </si>
  <si>
    <t>a2</t>
  </si>
  <si>
    <t>b2</t>
  </si>
  <si>
    <t>a1</t>
  </si>
  <si>
    <t>b1</t>
  </si>
  <si>
    <t xml:space="preserve">Both sums are equal? </t>
  </si>
  <si>
    <t>OVERFLOW?</t>
  </si>
  <si>
    <t>ENTER TWO NUMBERS</t>
  </si>
  <si>
    <t xml:space="preserve"> -128&lt;NUMBER&lt;128</t>
  </si>
  <si>
    <t>&lt;&lt;&lt;&lt;&lt;</t>
  </si>
  <si>
    <t>A</t>
  </si>
  <si>
    <t>B</t>
  </si>
  <si>
    <t>CIN</t>
  </si>
  <si>
    <t>SUM</t>
  </si>
  <si>
    <t>COUT</t>
  </si>
  <si>
    <t xml:space="preserve">SUM </t>
  </si>
  <si>
    <t>SUM1</t>
  </si>
  <si>
    <t>SUM7</t>
  </si>
  <si>
    <t>SUM6</t>
  </si>
  <si>
    <t>SUM5</t>
  </si>
  <si>
    <t>SUM4</t>
  </si>
  <si>
    <t>SUM3</t>
  </si>
  <si>
    <t>SUM2</t>
  </si>
  <si>
    <t>ADD/SUBTRACT</t>
  </si>
  <si>
    <t>BOOLEAN TRUTH TABLE</t>
  </si>
  <si>
    <t>1.</t>
  </si>
  <si>
    <t>FF</t>
  </si>
  <si>
    <t>←</t>
  </si>
  <si>
    <t>a8</t>
  </si>
  <si>
    <t>b8</t>
  </si>
  <si>
    <t>SUM LOGIC</t>
  </si>
  <si>
    <t>SUM8</t>
  </si>
  <si>
    <t xml:space="preserve">SUM result converted back to decimal: </t>
  </si>
  <si>
    <t>G</t>
  </si>
  <si>
    <t>P</t>
  </si>
  <si>
    <t>G8</t>
  </si>
  <si>
    <t>P8</t>
  </si>
  <si>
    <t>G7</t>
  </si>
  <si>
    <t>P7</t>
  </si>
  <si>
    <t>G6</t>
  </si>
  <si>
    <t>P6</t>
  </si>
  <si>
    <t>G5</t>
  </si>
  <si>
    <t>P5</t>
  </si>
  <si>
    <t>G4</t>
  </si>
  <si>
    <t>P4</t>
  </si>
  <si>
    <t>G3</t>
  </si>
  <si>
    <t>P3</t>
  </si>
  <si>
    <t>G2</t>
  </si>
  <si>
    <t>P2</t>
  </si>
  <si>
    <t>G1</t>
  </si>
  <si>
    <t>P1</t>
  </si>
  <si>
    <t>G1:0</t>
  </si>
  <si>
    <t>YOU CAN USE IT FOR DEBUGGING POTENTIAL ERRORS IN YOUR DESIGN ABOVE</t>
  </si>
  <si>
    <t>SHOWN BELOW IS A CORRECT RIPPLE-CARRY ADDER THAT USES THE SAME NUMBERS AS YOU ENTERED ABOVE</t>
  </si>
  <si>
    <t>P7:1</t>
  </si>
  <si>
    <t>G7:1</t>
  </si>
  <si>
    <t xml:space="preserve"> -32768&lt;NUMBER&lt;32768</t>
  </si>
  <si>
    <t>a15</t>
  </si>
  <si>
    <t>b15</t>
  </si>
  <si>
    <t>a14</t>
  </si>
  <si>
    <t>b14</t>
  </si>
  <si>
    <t>a13</t>
  </si>
  <si>
    <t>b13</t>
  </si>
  <si>
    <t>a12</t>
  </si>
  <si>
    <t>b12</t>
  </si>
  <si>
    <t>a11</t>
  </si>
  <si>
    <t>b11</t>
  </si>
  <si>
    <t>a10</t>
  </si>
  <si>
    <t>b10</t>
  </si>
  <si>
    <t>a9</t>
  </si>
  <si>
    <t>b9</t>
  </si>
  <si>
    <t>G15</t>
  </si>
  <si>
    <t>P15</t>
  </si>
  <si>
    <t>G14</t>
  </si>
  <si>
    <t>P14</t>
  </si>
  <si>
    <t>G13</t>
  </si>
  <si>
    <t>P13</t>
  </si>
  <si>
    <t>G12</t>
  </si>
  <si>
    <t>P12</t>
  </si>
  <si>
    <t>G11</t>
  </si>
  <si>
    <t>P11</t>
  </si>
  <si>
    <t>G10</t>
  </si>
  <si>
    <t>P10</t>
  </si>
  <si>
    <t>G9</t>
  </si>
  <si>
    <t>P9</t>
  </si>
  <si>
    <t>SUM15</t>
  </si>
  <si>
    <t>SUM14</t>
  </si>
  <si>
    <t>SUM13</t>
  </si>
  <si>
    <t>SUM12</t>
  </si>
  <si>
    <t>SUM11</t>
  </si>
  <si>
    <t>SUM10</t>
  </si>
  <si>
    <t>SUM9</t>
  </si>
  <si>
    <t>a16</t>
  </si>
  <si>
    <t>b16</t>
  </si>
  <si>
    <t>Template for design of ripple-carry adder</t>
  </si>
  <si>
    <t>2.</t>
  </si>
  <si>
    <t>3.</t>
  </si>
  <si>
    <t>4.</t>
  </si>
  <si>
    <t>5.</t>
  </si>
  <si>
    <t>6.</t>
  </si>
  <si>
    <t>G16</t>
  </si>
  <si>
    <t>P16</t>
  </si>
  <si>
    <t>CARRY OPERATION</t>
  </si>
  <si>
    <t>←CIN</t>
  </si>
  <si>
    <t>INSTRUCTIONS:</t>
  </si>
  <si>
    <t>The lower half of the adder should already now be partly functional. Adding small numbers like 1+2 and 32+32 should work!</t>
  </si>
  <si>
    <t>The upper half of the adder must now be completed.</t>
  </si>
  <si>
    <t>For bit cells 9-12, the P cell just takes values from above just as the G cells do.</t>
  </si>
  <si>
    <t>For bit cells 15-13 you need to add correct AND functions! Check textbook template for corect connections!</t>
  </si>
  <si>
    <t>Check that all sums for bits 9-16 is calculated using correct carry-in data (on row 17).</t>
  </si>
  <si>
    <t>Enter the COUT=AB+CIN*(A+B) logic that you derived for the prelabs into cell Q12 using EXCEL logic functions</t>
  </si>
  <si>
    <t>that is using =OR(AND(cellA;cellB);AND(cellCIN;OR(cellA;cellB)))*1</t>
  </si>
  <si>
    <t>GO TO YOUR 8-bit SKLANSKY ADDER. IF you are convinced that it is correct, do the following:</t>
  </si>
  <si>
    <t>COPY field C14:R17. Paste it to field S14:AH17 and to field C14:F17 above!</t>
  </si>
  <si>
    <t>Template for design of 16-bit Sklansky adder</t>
  </si>
  <si>
    <t>Template for design of 8-bit Sklansky adder</t>
  </si>
  <si>
    <t>NOTE!</t>
  </si>
  <si>
    <t>The number of bits in the Sklansky adder was doubled, from 8-bits to 16-bits, but . . .</t>
  </si>
  <si>
    <t>but the worst case propagation delay only increased one delay unit because of the binary tree!</t>
  </si>
  <si>
    <t>VALIDATE FUNCTIONALITY! The adder should work now, otherwise debug!</t>
  </si>
  <si>
    <t>If they are not already there, P values must be included in all cells on row 16 of the upper half of the adder, i.e. for bits 9-15.</t>
  </si>
  <si>
    <t xml:space="preserve">Now, SUM cells 9-16 need to have their carry-in data implemented on row 17. </t>
  </si>
  <si>
    <t xml:space="preserve">Add these values by checking textbook fig. 11.29 for correct connections! </t>
  </si>
  <si>
    <t>As an example: 7 plus -7 should yield block-G, while -1 plus 0 should yield block-p!</t>
  </si>
  <si>
    <t>P1:0</t>
  </si>
  <si>
    <t>CARRY CELL</t>
  </si>
  <si>
    <t>Click-and-drag cell Q12 to the left for turning the eight carry cells  into an array of eight instances of the same carry cell!</t>
  </si>
  <si>
    <t>Validate the add/sub functionality</t>
  </si>
  <si>
    <t>ST 65 nm standard cell height 2.6 um</t>
  </si>
  <si>
    <t>enter carry logic here</t>
  </si>
  <si>
    <t>CLICK &amp; &lt;&lt; DRAG</t>
  </si>
  <si>
    <t>TASK:</t>
  </si>
  <si>
    <r>
      <t>This exercise is based on the observation that the signal P=A</t>
    </r>
    <r>
      <rPr>
        <sz val="11"/>
        <color theme="1"/>
        <rFont val="Calibri"/>
        <family val="2"/>
      </rPr>
      <t xml:space="preserve">ꚚB is useful both for forming the sum=AꚚBꚚCIN </t>
    </r>
  </si>
  <si>
    <t>and for propagating the carry through the carry cell. This is obvious from a look at the Boolean truth table.</t>
  </si>
  <si>
    <t>PROPAGATE CIN</t>
  </si>
  <si>
    <t>KILL CIN</t>
  </si>
  <si>
    <t>GENERATE COUT</t>
  </si>
  <si>
    <t>Here we have added a half adder producing the prefixed outputs G=AB and P=AꚚB, which will allow us to simplify the carry cell and using a 2-input XOR gate for producing the SUM=PꚚCIN</t>
  </si>
  <si>
    <t>Enter SUM logic here</t>
  </si>
  <si>
    <t>Enter carry logic in this blue row!</t>
  </si>
  <si>
    <t>PG SETUP</t>
  </si>
  <si>
    <r>
      <rPr>
        <b/>
        <sz val="12"/>
        <color rgb="FFFF0000"/>
        <rFont val="Calibri"/>
        <family val="2"/>
        <scheme val="minor"/>
      </rPr>
      <t>←</t>
    </r>
    <r>
      <rPr>
        <sz val="12"/>
        <color theme="1"/>
        <rFont val="Calibri"/>
        <family val="2"/>
        <scheme val="minor"/>
      </rPr>
      <t>CIN</t>
    </r>
  </si>
  <si>
    <t>v</t>
  </si>
  <si>
    <t>Enter</t>
  </si>
  <si>
    <t>G0</t>
  </si>
  <si>
    <t>P0</t>
  </si>
  <si>
    <t>P2:0</t>
  </si>
  <si>
    <t>G2:0</t>
  </si>
  <si>
    <t>P3:0</t>
  </si>
  <si>
    <t>G3:0</t>
  </si>
  <si>
    <t>G4:0</t>
  </si>
  <si>
    <t>P5:0</t>
  </si>
  <si>
    <t>G5:0</t>
  </si>
  <si>
    <t>G7:0</t>
  </si>
  <si>
    <t>P7:0</t>
  </si>
  <si>
    <t>G6:0</t>
  </si>
  <si>
    <t>P6:0</t>
  </si>
  <si>
    <t>P4:0</t>
  </si>
  <si>
    <t>→</t>
  </si>
  <si>
    <t>BACKGROUND INFORMATION:</t>
  </si>
  <si>
    <t>This setup logic is essentially a half adder (a half adder returns outputs COUT=ab and SUM=aꚚb)</t>
  </si>
  <si>
    <t>Having G and P available simultaneously in all bit cells (from bit 1 to bit 8) allows us to simplify the carry cell</t>
  </si>
  <si>
    <t>and use a 1+2 AND-OR gate (AO12) instead of the previous more complex carry cell used in task 1.</t>
  </si>
  <si>
    <t>SUM logic can also be simplified since SUM=aꚚbꚚCIN=PꚚCIN, and P is already setup in every bit cell.</t>
  </si>
  <si>
    <t xml:space="preserve">3. </t>
  </si>
  <si>
    <t>Compared to the previous ripple-adder design, the new design in this task has an added layer of propagate/generate logic.</t>
  </si>
  <si>
    <t>This setup logic takes input bits a and b and returns output bits G=ab and P=aꚚb. See Figure 11.13</t>
  </si>
  <si>
    <t>This is since we can now use that COUT=G+P*CIN</t>
  </si>
  <si>
    <t>Replace previous SUM logic with 2-input XOR gates (on row 17, LSB cell Q16)</t>
  </si>
  <si>
    <t>Replace previous carry cells with AO12 cells (on row 16, LSB cell Q16)).</t>
  </si>
  <si>
    <t>CLICK-AND-DRAG to the left to get 8 instances of the CARRY and SUM logic you just entered in bitcell #1.</t>
  </si>
  <si>
    <t xml:space="preserve">4. </t>
  </si>
  <si>
    <t>Validate that your design works correctly for both addition and subtraction!</t>
  </si>
  <si>
    <t xml:space="preserve">Half adder setup logic outputs G and P </t>
  </si>
  <si>
    <t>This exercise is based on the same adder as in the previous task but with some interesting additions.</t>
  </si>
  <si>
    <t>Some control logic has been added to care for correct CIN and PIN values. These control bit values are found as G0 and P0.</t>
  </si>
  <si>
    <t>The two output values from the most significant bit, i.e. bit8, is then COUT=G8:0 and POUT=P8:0, respectively</t>
  </si>
  <si>
    <t xml:space="preserve">These two cells together, the group or block GENERATE and PROPAGATE, have some really interesting properties </t>
  </si>
  <si>
    <t>that will be explained (hopefully) during the exercise! Together they are known under many different names</t>
  </si>
  <si>
    <t>of which we will use the term "DOT OPERATOR"</t>
  </si>
  <si>
    <t>The extension from the previous adder in task#2 is that we have two "memory bits" rippling together from the LSB to the MSB</t>
  </si>
  <si>
    <t>In parallel to the carry, we are now also letting a "group propagate" bit ripple along with the carry bit.</t>
  </si>
  <si>
    <t>As an example the "group propagate" bit for a group of bits consisting of neighbor bits i and i+1 is denoted Pi+1:i=Pi+1*Pi</t>
  </si>
  <si>
    <t>Enter logic for bit propagate in LSB cell (LSB cell R16)</t>
  </si>
  <si>
    <t>Re-enter logic for the carry as derived in the previous task (into LSB cell Q16)!</t>
  </si>
  <si>
    <t>CLICK and DRAG cells Q16 R16 together to get eight instances of the ripple carry and the ripple propagate!</t>
  </si>
  <si>
    <t>Validate the design for additions and subtractions!</t>
  </si>
  <si>
    <t>SUM logic already entered here</t>
  </si>
  <si>
    <t>COUT1</t>
  </si>
  <si>
    <t>COUT6</t>
  </si>
  <si>
    <t>COUT5</t>
  </si>
  <si>
    <t>COUT4</t>
  </si>
  <si>
    <t>COUT3</t>
  </si>
  <si>
    <t>COUT2</t>
  </si>
  <si>
    <t>COUT8</t>
  </si>
  <si>
    <t>COUT7</t>
  </si>
  <si>
    <t>Representing 3 dot operator delays</t>
  </si>
  <si>
    <t>In this task you are going to design an 8-bit prefix tree Sklansky adder using the "DOT OPERATOR" from the previous task</t>
  </si>
  <si>
    <t>Please read corresponding text in textbook (chapter on adders)</t>
  </si>
  <si>
    <t>HOW TO DO IT:</t>
  </si>
  <si>
    <t>Two  yellow cells represent the "DOT OPERATOR". The left one is the Generate information: =G+P*CIN</t>
  </si>
  <si>
    <t>the right one represents the PROPAGATE information=P*PIN</t>
  </si>
  <si>
    <t xml:space="preserve">Start with cells O13 and P13 and enter the expected logic </t>
  </si>
  <si>
    <t>Already now it should work producing results &lt;8</t>
  </si>
  <si>
    <t>CLICK and DRAG the logic information (in group O13 - R13) along row 13 up to C13</t>
  </si>
  <si>
    <t>The add logic information into the K14-L14 dot operator and then into M14-N14</t>
  </si>
  <si>
    <t>It should work and produce results less than 16</t>
  </si>
  <si>
    <t>Continue step by step to fill all yellow fields!</t>
  </si>
  <si>
    <t>Be sure to grab information from corect positions! :-)</t>
  </si>
  <si>
    <t>PLEASE NOTE that the SUM XOR logic expects to get its input carry from row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</si>
</sst>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0" tint="-0.1499984740745262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</font>
    <font>
      <b/>
      <sz val="11"/>
      <color rgb="FFFF0000"/>
      <name val="Calibri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0" xfId="0" applyFill="1" applyBorder="1" applyAlignment="1">
      <alignment horizontal="center"/>
    </xf>
    <xf numFmtId="0" fontId="2" fillId="0" borderId="0" xfId="0" applyFont="1" applyFill="1" applyBorder="1"/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/>
    <xf numFmtId="0" fontId="7" fillId="0" borderId="2" xfId="0" applyFont="1" applyBorder="1"/>
    <xf numFmtId="0" fontId="8" fillId="2" borderId="1" xfId="0" applyFont="1" applyFill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0" borderId="0" xfId="0" applyFont="1" applyFill="1" applyBorder="1"/>
    <xf numFmtId="0" fontId="0" fillId="0" borderId="0" xfId="0" applyFill="1" applyAlignment="1">
      <alignment horizontal="center" vertical="center"/>
    </xf>
    <xf numFmtId="0" fontId="7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5" borderId="0" xfId="0" applyFont="1" applyFill="1"/>
    <xf numFmtId="0" fontId="7" fillId="4" borderId="1" xfId="0" applyFont="1" applyFill="1" applyBorder="1" applyAlignment="1">
      <alignment horizontal="center" vertical="center"/>
    </xf>
    <xf numFmtId="0" fontId="11" fillId="0" borderId="0" xfId="0" applyFont="1"/>
    <xf numFmtId="0" fontId="0" fillId="0" borderId="0" xfId="0" applyFont="1"/>
    <xf numFmtId="0" fontId="0" fillId="2" borderId="0" xfId="0" applyFont="1" applyFill="1" applyAlignment="1">
      <alignment horizontal="center"/>
    </xf>
    <xf numFmtId="0" fontId="0" fillId="5" borderId="0" xfId="0" applyFont="1" applyFill="1"/>
    <xf numFmtId="0" fontId="7" fillId="6" borderId="0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7" fillId="7" borderId="9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7" fillId="0" borderId="13" xfId="0" applyFont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7" borderId="28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0" xfId="0" applyFont="1" applyFill="1"/>
    <xf numFmtId="0" fontId="0" fillId="6" borderId="1" xfId="0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4" fillId="0" borderId="0" xfId="0" applyFont="1"/>
    <xf numFmtId="0" fontId="0" fillId="0" borderId="0" xfId="0" applyFont="1" applyFill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7" borderId="30" xfId="0" applyFont="1" applyFill="1" applyBorder="1" applyAlignment="1">
      <alignment horizontal="center"/>
    </xf>
    <xf numFmtId="0" fontId="7" fillId="7" borderId="28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top"/>
    </xf>
    <xf numFmtId="0" fontId="15" fillId="3" borderId="0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7" borderId="37" xfId="0" applyFont="1" applyFill="1" applyBorder="1" applyAlignment="1">
      <alignment horizontal="center" vertical="top"/>
    </xf>
    <xf numFmtId="0" fontId="7" fillId="7" borderId="40" xfId="0" applyFont="1" applyFill="1" applyBorder="1" applyAlignment="1">
      <alignment horizontal="center" vertical="top"/>
    </xf>
    <xf numFmtId="0" fontId="0" fillId="7" borderId="35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top"/>
    </xf>
    <xf numFmtId="0" fontId="7" fillId="3" borderId="40" xfId="0" applyFont="1" applyFill="1" applyBorder="1" applyAlignment="1">
      <alignment horizontal="center" vertical="top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11" fillId="6" borderId="42" xfId="0" applyFont="1" applyFill="1" applyBorder="1" applyAlignment="1">
      <alignment horizontal="center" vertical="center"/>
    </xf>
    <xf numFmtId="0" fontId="21" fillId="0" borderId="0" xfId="0" applyFont="1"/>
    <xf numFmtId="0" fontId="1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4" borderId="41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37" xfId="0" applyBorder="1"/>
    <xf numFmtId="0" fontId="7" fillId="7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7" borderId="44" xfId="0" applyFont="1" applyFill="1" applyBorder="1" applyAlignment="1">
      <alignment horizontal="center"/>
    </xf>
    <xf numFmtId="0" fontId="7" fillId="7" borderId="45" xfId="0" applyFont="1" applyFill="1" applyBorder="1" applyAlignment="1">
      <alignment horizontal="center"/>
    </xf>
    <xf numFmtId="0" fontId="7" fillId="3" borderId="46" xfId="0" applyFont="1" applyFill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7" borderId="46" xfId="0" applyFont="1" applyFill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4" borderId="2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/>
    <xf numFmtId="0" fontId="0" fillId="0" borderId="0" xfId="0" applyFill="1" applyAlignment="1">
      <alignment horizontal="left" vertical="center"/>
    </xf>
    <xf numFmtId="0" fontId="20" fillId="0" borderId="0" xfId="0" applyFont="1" applyAlignment="1"/>
    <xf numFmtId="0" fontId="7" fillId="0" borderId="5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/>
    </xf>
    <xf numFmtId="0" fontId="7" fillId="6" borderId="29" xfId="0" applyFont="1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0" fillId="6" borderId="18" xfId="0" applyFont="1" applyFill="1" applyBorder="1" applyAlignment="1">
      <alignment horizontal="center" vertical="center" wrapText="1"/>
    </xf>
    <xf numFmtId="0" fontId="0" fillId="6" borderId="2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 wrapText="1"/>
    </xf>
    <xf numFmtId="0" fontId="7" fillId="7" borderId="34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center"/>
    </xf>
    <xf numFmtId="0" fontId="7" fillId="7" borderId="36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7" fillId="7" borderId="35" xfId="0" applyFont="1" applyFill="1" applyBorder="1" applyAlignment="1">
      <alignment horizontal="center" vertical="center"/>
    </xf>
    <xf numFmtId="0" fontId="7" fillId="7" borderId="3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7" borderId="39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7" fillId="7" borderId="40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11" fillId="6" borderId="37" xfId="0" applyFont="1" applyFill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Alignment="1"/>
    <xf numFmtId="0" fontId="10" fillId="0" borderId="0" xfId="0" applyFont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7" fillId="7" borderId="50" xfId="0" applyFont="1" applyFill="1" applyBorder="1" applyAlignment="1">
      <alignment horizontal="center" vertical="center"/>
    </xf>
    <xf numFmtId="0" fontId="7" fillId="7" borderId="49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7" borderId="48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0" xfId="0" applyFont="1" applyFill="1" applyAlignment="1">
      <alignment horizontal="center"/>
    </xf>
    <xf numFmtId="0" fontId="0" fillId="0" borderId="0" xfId="0" applyFont="1" applyAlignment="1">
      <alignment horizontal="center"/>
    </xf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47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266700</xdr:rowOff>
    </xdr:from>
    <xdr:to>
      <xdr:col>19</xdr:col>
      <xdr:colOff>168375</xdr:colOff>
      <xdr:row>24</xdr:row>
      <xdr:rowOff>266700</xdr:rowOff>
    </xdr:to>
    <xdr:cxnSp macro="">
      <xdr:nvCxnSpPr>
        <xdr:cNvPr id="99" name="Straight Connector 200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CxnSpPr/>
      </xdr:nvCxnSpPr>
      <xdr:spPr>
        <a:xfrm flipH="1">
          <a:off x="6400800" y="6172200"/>
          <a:ext cx="549375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266700</xdr:colOff>
      <xdr:row>24</xdr:row>
      <xdr:rowOff>266700</xdr:rowOff>
    </xdr:from>
    <xdr:to>
      <xdr:col>16</xdr:col>
      <xdr:colOff>139800</xdr:colOff>
      <xdr:row>25</xdr:row>
      <xdr:rowOff>257175</xdr:rowOff>
    </xdr:to>
    <xdr:grpSp>
      <xdr:nvGrpSpPr>
        <xdr:cNvPr id="11" name="Grupp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pSpPr/>
      </xdr:nvGrpSpPr>
      <xdr:grpSpPr>
        <a:xfrm>
          <a:off x="6413500" y="5702300"/>
          <a:ext cx="279500" cy="498475"/>
          <a:chOff x="5610225" y="6172200"/>
          <a:chExt cx="225525" cy="495300"/>
        </a:xfrm>
      </xdr:grpSpPr>
      <xdr:cxnSp macro="">
        <xdr:nvCxnSpPr>
          <xdr:cNvPr id="96" name="Straight Connector 200">
            <a:extLst>
              <a:ext uri="{FF2B5EF4-FFF2-40B4-BE49-F238E27FC236}">
                <a16:creationId xmlns:a16="http://schemas.microsoft.com/office/drawing/2014/main" xmlns="" id="{00000000-0008-0000-0000-000060000000}"/>
              </a:ext>
            </a:extLst>
          </xdr:cNvPr>
          <xdr:cNvCxnSpPr/>
        </xdr:nvCxnSpPr>
        <xdr:spPr>
          <a:xfrm flipH="1">
            <a:off x="5619750" y="6172200"/>
            <a:ext cx="216000" cy="0"/>
          </a:xfrm>
          <a:prstGeom prst="line">
            <a:avLst/>
          </a:prstGeom>
          <a:ln w="19050">
            <a:solidFill>
              <a:srgbClr val="0070C0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5" name="Straight Connector 200">
            <a:extLst>
              <a:ext uri="{FF2B5EF4-FFF2-40B4-BE49-F238E27FC236}">
                <a16:creationId xmlns:a16="http://schemas.microsoft.com/office/drawing/2014/main" xmlns="" id="{00000000-0008-0000-0000-000069000000}"/>
              </a:ext>
            </a:extLst>
          </xdr:cNvPr>
          <xdr:cNvCxnSpPr/>
        </xdr:nvCxnSpPr>
        <xdr:spPr>
          <a:xfrm>
            <a:off x="5763686" y="6181725"/>
            <a:ext cx="0" cy="485775"/>
          </a:xfrm>
          <a:prstGeom prst="lin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6" name="Straight Connector 200">
            <a:extLst>
              <a:ext uri="{FF2B5EF4-FFF2-40B4-BE49-F238E27FC236}">
                <a16:creationId xmlns:a16="http://schemas.microsoft.com/office/drawing/2014/main" xmlns="" id="{00000000-0008-0000-0000-00006A000000}"/>
              </a:ext>
            </a:extLst>
          </xdr:cNvPr>
          <xdr:cNvCxnSpPr/>
        </xdr:nvCxnSpPr>
        <xdr:spPr>
          <a:xfrm flipH="1">
            <a:off x="5610225" y="6657975"/>
            <a:ext cx="149325" cy="0"/>
          </a:xfrm>
          <a:prstGeom prst="line">
            <a:avLst/>
          </a:prstGeom>
          <a:ln w="19050">
            <a:solidFill>
              <a:srgbClr val="0070C0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266700</xdr:colOff>
      <xdr:row>24</xdr:row>
      <xdr:rowOff>266700</xdr:rowOff>
    </xdr:from>
    <xdr:to>
      <xdr:col>18</xdr:col>
      <xdr:colOff>139800</xdr:colOff>
      <xdr:row>25</xdr:row>
      <xdr:rowOff>257175</xdr:rowOff>
    </xdr:to>
    <xdr:grpSp>
      <xdr:nvGrpSpPr>
        <xdr:cNvPr id="209" name="Grupp 208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GrpSpPr/>
      </xdr:nvGrpSpPr>
      <xdr:grpSpPr>
        <a:xfrm>
          <a:off x="7226300" y="5702300"/>
          <a:ext cx="279500" cy="498475"/>
          <a:chOff x="5610225" y="6172200"/>
          <a:chExt cx="225525" cy="495300"/>
        </a:xfrm>
      </xdr:grpSpPr>
      <xdr:cxnSp macro="">
        <xdr:nvCxnSpPr>
          <xdr:cNvPr id="210" name="Straight Connector 200">
            <a:extLst>
              <a:ext uri="{FF2B5EF4-FFF2-40B4-BE49-F238E27FC236}">
                <a16:creationId xmlns:a16="http://schemas.microsoft.com/office/drawing/2014/main" xmlns="" id="{00000000-0008-0000-0000-0000D2000000}"/>
              </a:ext>
            </a:extLst>
          </xdr:cNvPr>
          <xdr:cNvCxnSpPr/>
        </xdr:nvCxnSpPr>
        <xdr:spPr>
          <a:xfrm flipH="1">
            <a:off x="5619750" y="6172200"/>
            <a:ext cx="216000" cy="0"/>
          </a:xfrm>
          <a:prstGeom prst="line">
            <a:avLst/>
          </a:prstGeom>
          <a:ln w="19050">
            <a:solidFill>
              <a:srgbClr val="0070C0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1" name="Straight Connector 200">
            <a:extLst>
              <a:ext uri="{FF2B5EF4-FFF2-40B4-BE49-F238E27FC236}">
                <a16:creationId xmlns:a16="http://schemas.microsoft.com/office/drawing/2014/main" xmlns="" id="{00000000-0008-0000-0000-0000D3000000}"/>
              </a:ext>
            </a:extLst>
          </xdr:cNvPr>
          <xdr:cNvCxnSpPr/>
        </xdr:nvCxnSpPr>
        <xdr:spPr>
          <a:xfrm>
            <a:off x="5763686" y="6181725"/>
            <a:ext cx="0" cy="485775"/>
          </a:xfrm>
          <a:prstGeom prst="lin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2" name="Straight Connector 200">
            <a:extLst>
              <a:ext uri="{FF2B5EF4-FFF2-40B4-BE49-F238E27FC236}">
                <a16:creationId xmlns:a16="http://schemas.microsoft.com/office/drawing/2014/main" xmlns="" id="{00000000-0008-0000-0000-0000D4000000}"/>
              </a:ext>
            </a:extLst>
          </xdr:cNvPr>
          <xdr:cNvCxnSpPr/>
        </xdr:nvCxnSpPr>
        <xdr:spPr>
          <a:xfrm flipH="1">
            <a:off x="5610225" y="6657975"/>
            <a:ext cx="149325" cy="0"/>
          </a:xfrm>
          <a:prstGeom prst="line">
            <a:avLst/>
          </a:prstGeom>
          <a:ln w="19050">
            <a:solidFill>
              <a:srgbClr val="0070C0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19050</xdr:colOff>
      <xdr:row>25</xdr:row>
      <xdr:rowOff>447675</xdr:rowOff>
    </xdr:from>
    <xdr:to>
      <xdr:col>17</xdr:col>
      <xdr:colOff>19050</xdr:colOff>
      <xdr:row>26</xdr:row>
      <xdr:rowOff>133350</xdr:rowOff>
    </xdr:to>
    <xdr:cxnSp macro="">
      <xdr:nvCxnSpPr>
        <xdr:cNvPr id="237" name="Straight Connector 200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CxnSpPr/>
      </xdr:nvCxnSpPr>
      <xdr:spPr>
        <a:xfrm>
          <a:off x="6067425" y="6858000"/>
          <a:ext cx="0" cy="190500"/>
        </a:xfrm>
        <a:prstGeom prst="line">
          <a:avLst/>
        </a:prstGeom>
        <a:ln w="19050">
          <a:solidFill>
            <a:srgbClr val="0070C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248853</xdr:colOff>
      <xdr:row>24</xdr:row>
      <xdr:rowOff>257175</xdr:rowOff>
    </xdr:from>
    <xdr:to>
      <xdr:col>2</xdr:col>
      <xdr:colOff>111221</xdr:colOff>
      <xdr:row>24</xdr:row>
      <xdr:rowOff>257175</xdr:rowOff>
    </xdr:to>
    <xdr:cxnSp macro="">
      <xdr:nvCxnSpPr>
        <xdr:cNvPr id="243" name="Straight Connector 200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CxnSpPr/>
      </xdr:nvCxnSpPr>
      <xdr:spPr>
        <a:xfrm flipH="1">
          <a:off x="629853" y="6162675"/>
          <a:ext cx="243368" cy="0"/>
        </a:xfrm>
        <a:prstGeom prst="line">
          <a:avLst/>
        </a:prstGeom>
        <a:ln w="19050">
          <a:solidFill>
            <a:srgbClr val="0070C0"/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24</xdr:row>
      <xdr:rowOff>266700</xdr:rowOff>
    </xdr:from>
    <xdr:to>
      <xdr:col>4</xdr:col>
      <xdr:colOff>139800</xdr:colOff>
      <xdr:row>25</xdr:row>
      <xdr:rowOff>257175</xdr:rowOff>
    </xdr:to>
    <xdr:grpSp>
      <xdr:nvGrpSpPr>
        <xdr:cNvPr id="254" name="Grupp 253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GrpSpPr/>
      </xdr:nvGrpSpPr>
      <xdr:grpSpPr>
        <a:xfrm>
          <a:off x="1536700" y="5702300"/>
          <a:ext cx="279500" cy="498475"/>
          <a:chOff x="5610225" y="6172200"/>
          <a:chExt cx="225525" cy="495300"/>
        </a:xfrm>
      </xdr:grpSpPr>
      <xdr:cxnSp macro="">
        <xdr:nvCxnSpPr>
          <xdr:cNvPr id="255" name="Straight Connector 200">
            <a:extLst>
              <a:ext uri="{FF2B5EF4-FFF2-40B4-BE49-F238E27FC236}">
                <a16:creationId xmlns:a16="http://schemas.microsoft.com/office/drawing/2014/main" xmlns="" id="{00000000-0008-0000-0000-0000FF000000}"/>
              </a:ext>
            </a:extLst>
          </xdr:cNvPr>
          <xdr:cNvCxnSpPr/>
        </xdr:nvCxnSpPr>
        <xdr:spPr>
          <a:xfrm flipH="1">
            <a:off x="5619750" y="6172200"/>
            <a:ext cx="216000" cy="0"/>
          </a:xfrm>
          <a:prstGeom prst="line">
            <a:avLst/>
          </a:prstGeom>
          <a:ln w="19050">
            <a:solidFill>
              <a:srgbClr val="0070C0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6" name="Straight Connector 200">
            <a:extLst>
              <a:ext uri="{FF2B5EF4-FFF2-40B4-BE49-F238E27FC236}">
                <a16:creationId xmlns:a16="http://schemas.microsoft.com/office/drawing/2014/main" xmlns="" id="{00000000-0008-0000-0000-000000010000}"/>
              </a:ext>
            </a:extLst>
          </xdr:cNvPr>
          <xdr:cNvCxnSpPr/>
        </xdr:nvCxnSpPr>
        <xdr:spPr>
          <a:xfrm>
            <a:off x="5763686" y="6181725"/>
            <a:ext cx="0" cy="485775"/>
          </a:xfrm>
          <a:prstGeom prst="lin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7" name="Straight Connector 200">
            <a:extLst>
              <a:ext uri="{FF2B5EF4-FFF2-40B4-BE49-F238E27FC236}">
                <a16:creationId xmlns:a16="http://schemas.microsoft.com/office/drawing/2014/main" xmlns="" id="{00000000-0008-0000-0000-000001010000}"/>
              </a:ext>
            </a:extLst>
          </xdr:cNvPr>
          <xdr:cNvCxnSpPr/>
        </xdr:nvCxnSpPr>
        <xdr:spPr>
          <a:xfrm flipH="1">
            <a:off x="5610225" y="6657975"/>
            <a:ext cx="149325" cy="0"/>
          </a:xfrm>
          <a:prstGeom prst="line">
            <a:avLst/>
          </a:prstGeom>
          <a:ln w="19050">
            <a:solidFill>
              <a:srgbClr val="0070C0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266700</xdr:colOff>
      <xdr:row>24</xdr:row>
      <xdr:rowOff>266700</xdr:rowOff>
    </xdr:from>
    <xdr:to>
      <xdr:col>6</xdr:col>
      <xdr:colOff>139800</xdr:colOff>
      <xdr:row>25</xdr:row>
      <xdr:rowOff>257175</xdr:rowOff>
    </xdr:to>
    <xdr:grpSp>
      <xdr:nvGrpSpPr>
        <xdr:cNvPr id="258" name="Grupp 257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GrpSpPr/>
      </xdr:nvGrpSpPr>
      <xdr:grpSpPr>
        <a:xfrm>
          <a:off x="2349500" y="5702300"/>
          <a:ext cx="279500" cy="498475"/>
          <a:chOff x="5610225" y="6172200"/>
          <a:chExt cx="225525" cy="495300"/>
        </a:xfrm>
      </xdr:grpSpPr>
      <xdr:cxnSp macro="">
        <xdr:nvCxnSpPr>
          <xdr:cNvPr id="259" name="Straight Connector 200">
            <a:extLst>
              <a:ext uri="{FF2B5EF4-FFF2-40B4-BE49-F238E27FC236}">
                <a16:creationId xmlns:a16="http://schemas.microsoft.com/office/drawing/2014/main" xmlns="" id="{00000000-0008-0000-0000-000003010000}"/>
              </a:ext>
            </a:extLst>
          </xdr:cNvPr>
          <xdr:cNvCxnSpPr/>
        </xdr:nvCxnSpPr>
        <xdr:spPr>
          <a:xfrm flipH="1">
            <a:off x="5619750" y="6172200"/>
            <a:ext cx="216000" cy="0"/>
          </a:xfrm>
          <a:prstGeom prst="line">
            <a:avLst/>
          </a:prstGeom>
          <a:ln w="19050">
            <a:solidFill>
              <a:srgbClr val="0070C0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0" name="Straight Connector 200">
            <a:extLst>
              <a:ext uri="{FF2B5EF4-FFF2-40B4-BE49-F238E27FC236}">
                <a16:creationId xmlns:a16="http://schemas.microsoft.com/office/drawing/2014/main" xmlns="" id="{00000000-0008-0000-0000-000004010000}"/>
              </a:ext>
            </a:extLst>
          </xdr:cNvPr>
          <xdr:cNvCxnSpPr/>
        </xdr:nvCxnSpPr>
        <xdr:spPr>
          <a:xfrm>
            <a:off x="5763686" y="6181725"/>
            <a:ext cx="0" cy="485775"/>
          </a:xfrm>
          <a:prstGeom prst="lin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1" name="Straight Connector 200">
            <a:extLst>
              <a:ext uri="{FF2B5EF4-FFF2-40B4-BE49-F238E27FC236}">
                <a16:creationId xmlns:a16="http://schemas.microsoft.com/office/drawing/2014/main" xmlns="" id="{00000000-0008-0000-0000-000005010000}"/>
              </a:ext>
            </a:extLst>
          </xdr:cNvPr>
          <xdr:cNvCxnSpPr/>
        </xdr:nvCxnSpPr>
        <xdr:spPr>
          <a:xfrm flipH="1">
            <a:off x="5610225" y="6657975"/>
            <a:ext cx="149325" cy="0"/>
          </a:xfrm>
          <a:prstGeom prst="line">
            <a:avLst/>
          </a:prstGeom>
          <a:ln w="19050">
            <a:solidFill>
              <a:srgbClr val="0070C0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19050</xdr:colOff>
      <xdr:row>25</xdr:row>
      <xdr:rowOff>447675</xdr:rowOff>
    </xdr:from>
    <xdr:to>
      <xdr:col>5</xdr:col>
      <xdr:colOff>19050</xdr:colOff>
      <xdr:row>26</xdr:row>
      <xdr:rowOff>133350</xdr:rowOff>
    </xdr:to>
    <xdr:cxnSp macro="">
      <xdr:nvCxnSpPr>
        <xdr:cNvPr id="262" name="Straight Connector 200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CxnSpPr/>
      </xdr:nvCxnSpPr>
      <xdr:spPr>
        <a:xfrm>
          <a:off x="1838325" y="6858000"/>
          <a:ext cx="0" cy="190500"/>
        </a:xfrm>
        <a:prstGeom prst="line">
          <a:avLst/>
        </a:prstGeom>
        <a:ln w="19050">
          <a:solidFill>
            <a:srgbClr val="0070C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266700</xdr:colOff>
      <xdr:row>24</xdr:row>
      <xdr:rowOff>266700</xdr:rowOff>
    </xdr:from>
    <xdr:to>
      <xdr:col>8</xdr:col>
      <xdr:colOff>139800</xdr:colOff>
      <xdr:row>25</xdr:row>
      <xdr:rowOff>257175</xdr:rowOff>
    </xdr:to>
    <xdr:grpSp>
      <xdr:nvGrpSpPr>
        <xdr:cNvPr id="263" name="Grupp 262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GrpSpPr/>
      </xdr:nvGrpSpPr>
      <xdr:grpSpPr>
        <a:xfrm>
          <a:off x="3162300" y="5702300"/>
          <a:ext cx="279500" cy="498475"/>
          <a:chOff x="5610225" y="6172200"/>
          <a:chExt cx="225525" cy="495300"/>
        </a:xfrm>
      </xdr:grpSpPr>
      <xdr:cxnSp macro="">
        <xdr:nvCxnSpPr>
          <xdr:cNvPr id="264" name="Straight Connector 200">
            <a:extLst>
              <a:ext uri="{FF2B5EF4-FFF2-40B4-BE49-F238E27FC236}">
                <a16:creationId xmlns:a16="http://schemas.microsoft.com/office/drawing/2014/main" xmlns="" id="{00000000-0008-0000-0000-000008010000}"/>
              </a:ext>
            </a:extLst>
          </xdr:cNvPr>
          <xdr:cNvCxnSpPr/>
        </xdr:nvCxnSpPr>
        <xdr:spPr>
          <a:xfrm flipH="1">
            <a:off x="5619750" y="6172200"/>
            <a:ext cx="216000" cy="0"/>
          </a:xfrm>
          <a:prstGeom prst="line">
            <a:avLst/>
          </a:prstGeom>
          <a:ln w="19050">
            <a:solidFill>
              <a:srgbClr val="0070C0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5" name="Straight Connector 200">
            <a:extLst>
              <a:ext uri="{FF2B5EF4-FFF2-40B4-BE49-F238E27FC236}">
                <a16:creationId xmlns:a16="http://schemas.microsoft.com/office/drawing/2014/main" xmlns="" id="{00000000-0008-0000-0000-000009010000}"/>
              </a:ext>
            </a:extLst>
          </xdr:cNvPr>
          <xdr:cNvCxnSpPr/>
        </xdr:nvCxnSpPr>
        <xdr:spPr>
          <a:xfrm>
            <a:off x="5763686" y="6181725"/>
            <a:ext cx="0" cy="485775"/>
          </a:xfrm>
          <a:prstGeom prst="lin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6" name="Straight Connector 200">
            <a:extLst>
              <a:ext uri="{FF2B5EF4-FFF2-40B4-BE49-F238E27FC236}">
                <a16:creationId xmlns:a16="http://schemas.microsoft.com/office/drawing/2014/main" xmlns="" id="{00000000-0008-0000-0000-00000A010000}"/>
              </a:ext>
            </a:extLst>
          </xdr:cNvPr>
          <xdr:cNvCxnSpPr/>
        </xdr:nvCxnSpPr>
        <xdr:spPr>
          <a:xfrm flipH="1">
            <a:off x="5610225" y="6657975"/>
            <a:ext cx="149325" cy="0"/>
          </a:xfrm>
          <a:prstGeom prst="line">
            <a:avLst/>
          </a:prstGeom>
          <a:ln w="19050">
            <a:solidFill>
              <a:srgbClr val="0070C0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266700</xdr:colOff>
      <xdr:row>24</xdr:row>
      <xdr:rowOff>266700</xdr:rowOff>
    </xdr:from>
    <xdr:to>
      <xdr:col>10</xdr:col>
      <xdr:colOff>139800</xdr:colOff>
      <xdr:row>25</xdr:row>
      <xdr:rowOff>257175</xdr:rowOff>
    </xdr:to>
    <xdr:grpSp>
      <xdr:nvGrpSpPr>
        <xdr:cNvPr id="267" name="Grupp 266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GrpSpPr/>
      </xdr:nvGrpSpPr>
      <xdr:grpSpPr>
        <a:xfrm>
          <a:off x="3975100" y="5702300"/>
          <a:ext cx="279500" cy="498475"/>
          <a:chOff x="5610225" y="6172200"/>
          <a:chExt cx="225525" cy="495300"/>
        </a:xfrm>
      </xdr:grpSpPr>
      <xdr:cxnSp macro="">
        <xdr:nvCxnSpPr>
          <xdr:cNvPr id="268" name="Straight Connector 200">
            <a:extLst>
              <a:ext uri="{FF2B5EF4-FFF2-40B4-BE49-F238E27FC236}">
                <a16:creationId xmlns:a16="http://schemas.microsoft.com/office/drawing/2014/main" xmlns="" id="{00000000-0008-0000-0000-00000C010000}"/>
              </a:ext>
            </a:extLst>
          </xdr:cNvPr>
          <xdr:cNvCxnSpPr/>
        </xdr:nvCxnSpPr>
        <xdr:spPr>
          <a:xfrm flipH="1">
            <a:off x="5619750" y="6172200"/>
            <a:ext cx="216000" cy="0"/>
          </a:xfrm>
          <a:prstGeom prst="line">
            <a:avLst/>
          </a:prstGeom>
          <a:ln w="19050">
            <a:solidFill>
              <a:srgbClr val="0070C0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9" name="Straight Connector 200">
            <a:extLst>
              <a:ext uri="{FF2B5EF4-FFF2-40B4-BE49-F238E27FC236}">
                <a16:creationId xmlns:a16="http://schemas.microsoft.com/office/drawing/2014/main" xmlns="" id="{00000000-0008-0000-0000-00000D010000}"/>
              </a:ext>
            </a:extLst>
          </xdr:cNvPr>
          <xdr:cNvCxnSpPr/>
        </xdr:nvCxnSpPr>
        <xdr:spPr>
          <a:xfrm>
            <a:off x="5763686" y="6181725"/>
            <a:ext cx="0" cy="485775"/>
          </a:xfrm>
          <a:prstGeom prst="lin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0" name="Straight Connector 200">
            <a:extLst>
              <a:ext uri="{FF2B5EF4-FFF2-40B4-BE49-F238E27FC236}">
                <a16:creationId xmlns:a16="http://schemas.microsoft.com/office/drawing/2014/main" xmlns="" id="{00000000-0008-0000-0000-00000E010000}"/>
              </a:ext>
            </a:extLst>
          </xdr:cNvPr>
          <xdr:cNvCxnSpPr/>
        </xdr:nvCxnSpPr>
        <xdr:spPr>
          <a:xfrm flipH="1">
            <a:off x="5610225" y="6657975"/>
            <a:ext cx="149325" cy="0"/>
          </a:xfrm>
          <a:prstGeom prst="line">
            <a:avLst/>
          </a:prstGeom>
          <a:ln w="19050">
            <a:solidFill>
              <a:srgbClr val="0070C0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19050</xdr:colOff>
      <xdr:row>25</xdr:row>
      <xdr:rowOff>447675</xdr:rowOff>
    </xdr:from>
    <xdr:to>
      <xdr:col>9</xdr:col>
      <xdr:colOff>19050</xdr:colOff>
      <xdr:row>26</xdr:row>
      <xdr:rowOff>133350</xdr:rowOff>
    </xdr:to>
    <xdr:cxnSp macro="">
      <xdr:nvCxnSpPr>
        <xdr:cNvPr id="271" name="Straight Connector 200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CxnSpPr/>
      </xdr:nvCxnSpPr>
      <xdr:spPr>
        <a:xfrm>
          <a:off x="3248025" y="6858000"/>
          <a:ext cx="0" cy="190500"/>
        </a:xfrm>
        <a:prstGeom prst="line">
          <a:avLst/>
        </a:prstGeom>
        <a:ln w="19050">
          <a:solidFill>
            <a:srgbClr val="0070C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266700</xdr:colOff>
      <xdr:row>24</xdr:row>
      <xdr:rowOff>266700</xdr:rowOff>
    </xdr:from>
    <xdr:to>
      <xdr:col>12</xdr:col>
      <xdr:colOff>139800</xdr:colOff>
      <xdr:row>25</xdr:row>
      <xdr:rowOff>257175</xdr:rowOff>
    </xdr:to>
    <xdr:grpSp>
      <xdr:nvGrpSpPr>
        <xdr:cNvPr id="272" name="Grupp 271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GrpSpPr/>
      </xdr:nvGrpSpPr>
      <xdr:grpSpPr>
        <a:xfrm>
          <a:off x="4787900" y="5702300"/>
          <a:ext cx="279500" cy="498475"/>
          <a:chOff x="5610225" y="6172200"/>
          <a:chExt cx="225525" cy="495300"/>
        </a:xfrm>
      </xdr:grpSpPr>
      <xdr:cxnSp macro="">
        <xdr:nvCxnSpPr>
          <xdr:cNvPr id="273" name="Straight Connector 200">
            <a:extLst>
              <a:ext uri="{FF2B5EF4-FFF2-40B4-BE49-F238E27FC236}">
                <a16:creationId xmlns:a16="http://schemas.microsoft.com/office/drawing/2014/main" xmlns="" id="{00000000-0008-0000-0000-000011010000}"/>
              </a:ext>
            </a:extLst>
          </xdr:cNvPr>
          <xdr:cNvCxnSpPr/>
        </xdr:nvCxnSpPr>
        <xdr:spPr>
          <a:xfrm flipH="1">
            <a:off x="5619750" y="6172200"/>
            <a:ext cx="216000" cy="0"/>
          </a:xfrm>
          <a:prstGeom prst="line">
            <a:avLst/>
          </a:prstGeom>
          <a:ln w="19050">
            <a:solidFill>
              <a:srgbClr val="0070C0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4" name="Straight Connector 200">
            <a:extLst>
              <a:ext uri="{FF2B5EF4-FFF2-40B4-BE49-F238E27FC236}">
                <a16:creationId xmlns:a16="http://schemas.microsoft.com/office/drawing/2014/main" xmlns="" id="{00000000-0008-0000-0000-000012010000}"/>
              </a:ext>
            </a:extLst>
          </xdr:cNvPr>
          <xdr:cNvCxnSpPr/>
        </xdr:nvCxnSpPr>
        <xdr:spPr>
          <a:xfrm>
            <a:off x="5763686" y="6181725"/>
            <a:ext cx="0" cy="485775"/>
          </a:xfrm>
          <a:prstGeom prst="lin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5" name="Straight Connector 200">
            <a:extLst>
              <a:ext uri="{FF2B5EF4-FFF2-40B4-BE49-F238E27FC236}">
                <a16:creationId xmlns:a16="http://schemas.microsoft.com/office/drawing/2014/main" xmlns="" id="{00000000-0008-0000-0000-000013010000}"/>
              </a:ext>
            </a:extLst>
          </xdr:cNvPr>
          <xdr:cNvCxnSpPr/>
        </xdr:nvCxnSpPr>
        <xdr:spPr>
          <a:xfrm flipH="1">
            <a:off x="5610225" y="6657975"/>
            <a:ext cx="149325" cy="0"/>
          </a:xfrm>
          <a:prstGeom prst="line">
            <a:avLst/>
          </a:prstGeom>
          <a:ln w="19050">
            <a:solidFill>
              <a:srgbClr val="0070C0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266700</xdr:colOff>
      <xdr:row>24</xdr:row>
      <xdr:rowOff>266700</xdr:rowOff>
    </xdr:from>
    <xdr:to>
      <xdr:col>14</xdr:col>
      <xdr:colOff>139800</xdr:colOff>
      <xdr:row>25</xdr:row>
      <xdr:rowOff>257175</xdr:rowOff>
    </xdr:to>
    <xdr:grpSp>
      <xdr:nvGrpSpPr>
        <xdr:cNvPr id="276" name="Grupp 275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GrpSpPr/>
      </xdr:nvGrpSpPr>
      <xdr:grpSpPr>
        <a:xfrm>
          <a:off x="5600700" y="5702300"/>
          <a:ext cx="279500" cy="498475"/>
          <a:chOff x="5610225" y="6172200"/>
          <a:chExt cx="225525" cy="495300"/>
        </a:xfrm>
      </xdr:grpSpPr>
      <xdr:cxnSp macro="">
        <xdr:nvCxnSpPr>
          <xdr:cNvPr id="277" name="Straight Connector 200">
            <a:extLst>
              <a:ext uri="{FF2B5EF4-FFF2-40B4-BE49-F238E27FC236}">
                <a16:creationId xmlns:a16="http://schemas.microsoft.com/office/drawing/2014/main" xmlns="" id="{00000000-0008-0000-0000-000015010000}"/>
              </a:ext>
            </a:extLst>
          </xdr:cNvPr>
          <xdr:cNvCxnSpPr/>
        </xdr:nvCxnSpPr>
        <xdr:spPr>
          <a:xfrm flipH="1">
            <a:off x="5619750" y="6172200"/>
            <a:ext cx="216000" cy="0"/>
          </a:xfrm>
          <a:prstGeom prst="line">
            <a:avLst/>
          </a:prstGeom>
          <a:ln w="19050">
            <a:solidFill>
              <a:srgbClr val="0070C0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8" name="Straight Connector 200">
            <a:extLst>
              <a:ext uri="{FF2B5EF4-FFF2-40B4-BE49-F238E27FC236}">
                <a16:creationId xmlns:a16="http://schemas.microsoft.com/office/drawing/2014/main" xmlns="" id="{00000000-0008-0000-0000-000016010000}"/>
              </a:ext>
            </a:extLst>
          </xdr:cNvPr>
          <xdr:cNvCxnSpPr/>
        </xdr:nvCxnSpPr>
        <xdr:spPr>
          <a:xfrm>
            <a:off x="5763686" y="6181725"/>
            <a:ext cx="0" cy="485775"/>
          </a:xfrm>
          <a:prstGeom prst="lin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9" name="Straight Connector 200">
            <a:extLst>
              <a:ext uri="{FF2B5EF4-FFF2-40B4-BE49-F238E27FC236}">
                <a16:creationId xmlns:a16="http://schemas.microsoft.com/office/drawing/2014/main" xmlns="" id="{00000000-0008-0000-0000-000017010000}"/>
              </a:ext>
            </a:extLst>
          </xdr:cNvPr>
          <xdr:cNvCxnSpPr/>
        </xdr:nvCxnSpPr>
        <xdr:spPr>
          <a:xfrm flipH="1">
            <a:off x="5610225" y="6657975"/>
            <a:ext cx="149325" cy="0"/>
          </a:xfrm>
          <a:prstGeom prst="line">
            <a:avLst/>
          </a:prstGeom>
          <a:ln w="19050">
            <a:solidFill>
              <a:srgbClr val="0070C0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19050</xdr:colOff>
      <xdr:row>25</xdr:row>
      <xdr:rowOff>447675</xdr:rowOff>
    </xdr:from>
    <xdr:to>
      <xdr:col>13</xdr:col>
      <xdr:colOff>19050</xdr:colOff>
      <xdr:row>26</xdr:row>
      <xdr:rowOff>133350</xdr:rowOff>
    </xdr:to>
    <xdr:cxnSp macro="">
      <xdr:nvCxnSpPr>
        <xdr:cNvPr id="280" name="Straight Connector 200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CxnSpPr/>
      </xdr:nvCxnSpPr>
      <xdr:spPr>
        <a:xfrm>
          <a:off x="4657725" y="6858000"/>
          <a:ext cx="0" cy="190500"/>
        </a:xfrm>
        <a:prstGeom prst="line">
          <a:avLst/>
        </a:prstGeom>
        <a:ln w="19050">
          <a:solidFill>
            <a:srgbClr val="0070C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333375</xdr:colOff>
      <xdr:row>25</xdr:row>
      <xdr:rowOff>447675</xdr:rowOff>
    </xdr:from>
    <xdr:to>
      <xdr:col>14</xdr:col>
      <xdr:colOff>333375</xdr:colOff>
      <xdr:row>26</xdr:row>
      <xdr:rowOff>133350</xdr:rowOff>
    </xdr:to>
    <xdr:cxnSp macro="">
      <xdr:nvCxnSpPr>
        <xdr:cNvPr id="281" name="Straight Connector 200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CxnSpPr/>
      </xdr:nvCxnSpPr>
      <xdr:spPr>
        <a:xfrm>
          <a:off x="5324475" y="6858000"/>
          <a:ext cx="0" cy="190500"/>
        </a:xfrm>
        <a:prstGeom prst="line">
          <a:avLst/>
        </a:prstGeom>
        <a:ln w="19050">
          <a:solidFill>
            <a:srgbClr val="0070C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25</xdr:row>
      <xdr:rowOff>447675</xdr:rowOff>
    </xdr:from>
    <xdr:to>
      <xdr:col>3</xdr:col>
      <xdr:colOff>19050</xdr:colOff>
      <xdr:row>26</xdr:row>
      <xdr:rowOff>133350</xdr:rowOff>
    </xdr:to>
    <xdr:cxnSp macro="">
      <xdr:nvCxnSpPr>
        <xdr:cNvPr id="282" name="Straight Connector 200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CxnSpPr/>
      </xdr:nvCxnSpPr>
      <xdr:spPr>
        <a:xfrm>
          <a:off x="1133475" y="6858000"/>
          <a:ext cx="0" cy="190500"/>
        </a:xfrm>
        <a:prstGeom prst="line">
          <a:avLst/>
        </a:prstGeom>
        <a:ln w="19050">
          <a:solidFill>
            <a:srgbClr val="0070C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333375</xdr:colOff>
      <xdr:row>25</xdr:row>
      <xdr:rowOff>447675</xdr:rowOff>
    </xdr:from>
    <xdr:to>
      <xdr:col>6</xdr:col>
      <xdr:colOff>333375</xdr:colOff>
      <xdr:row>26</xdr:row>
      <xdr:rowOff>133350</xdr:rowOff>
    </xdr:to>
    <xdr:cxnSp macro="">
      <xdr:nvCxnSpPr>
        <xdr:cNvPr id="283" name="Straight Connector 200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CxnSpPr/>
      </xdr:nvCxnSpPr>
      <xdr:spPr>
        <a:xfrm>
          <a:off x="2505075" y="6858000"/>
          <a:ext cx="0" cy="190500"/>
        </a:xfrm>
        <a:prstGeom prst="line">
          <a:avLst/>
        </a:prstGeom>
        <a:ln w="19050">
          <a:solidFill>
            <a:srgbClr val="0070C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25</xdr:row>
      <xdr:rowOff>447675</xdr:rowOff>
    </xdr:from>
    <xdr:to>
      <xdr:col>10</xdr:col>
      <xdr:colOff>333375</xdr:colOff>
      <xdr:row>26</xdr:row>
      <xdr:rowOff>133350</xdr:rowOff>
    </xdr:to>
    <xdr:cxnSp macro="">
      <xdr:nvCxnSpPr>
        <xdr:cNvPr id="284" name="Straight Connector 200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CxnSpPr/>
      </xdr:nvCxnSpPr>
      <xdr:spPr>
        <a:xfrm>
          <a:off x="3914775" y="6858000"/>
          <a:ext cx="0" cy="190500"/>
        </a:xfrm>
        <a:prstGeom prst="line">
          <a:avLst/>
        </a:prstGeom>
        <a:ln w="19050">
          <a:solidFill>
            <a:srgbClr val="0070C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24</xdr:row>
      <xdr:rowOff>266700</xdr:rowOff>
    </xdr:from>
    <xdr:to>
      <xdr:col>4</xdr:col>
      <xdr:colOff>139800</xdr:colOff>
      <xdr:row>25</xdr:row>
      <xdr:rowOff>257175</xdr:rowOff>
    </xdr:to>
    <xdr:grpSp>
      <xdr:nvGrpSpPr>
        <xdr:cNvPr id="289" name="Grupp 288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GrpSpPr/>
      </xdr:nvGrpSpPr>
      <xdr:grpSpPr>
        <a:xfrm>
          <a:off x="1536700" y="5702300"/>
          <a:ext cx="279500" cy="498475"/>
          <a:chOff x="5610225" y="6172200"/>
          <a:chExt cx="225525" cy="495300"/>
        </a:xfrm>
      </xdr:grpSpPr>
      <xdr:cxnSp macro="">
        <xdr:nvCxnSpPr>
          <xdr:cNvPr id="290" name="Straight Connector 200">
            <a:extLst>
              <a:ext uri="{FF2B5EF4-FFF2-40B4-BE49-F238E27FC236}">
                <a16:creationId xmlns:a16="http://schemas.microsoft.com/office/drawing/2014/main" xmlns="" id="{00000000-0008-0000-0000-000022010000}"/>
              </a:ext>
            </a:extLst>
          </xdr:cNvPr>
          <xdr:cNvCxnSpPr/>
        </xdr:nvCxnSpPr>
        <xdr:spPr>
          <a:xfrm flipH="1">
            <a:off x="5619750" y="6172200"/>
            <a:ext cx="216000" cy="0"/>
          </a:xfrm>
          <a:prstGeom prst="line">
            <a:avLst/>
          </a:prstGeom>
          <a:ln w="19050">
            <a:solidFill>
              <a:srgbClr val="0070C0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1" name="Straight Connector 200">
            <a:extLst>
              <a:ext uri="{FF2B5EF4-FFF2-40B4-BE49-F238E27FC236}">
                <a16:creationId xmlns:a16="http://schemas.microsoft.com/office/drawing/2014/main" xmlns="" id="{00000000-0008-0000-0000-000023010000}"/>
              </a:ext>
            </a:extLst>
          </xdr:cNvPr>
          <xdr:cNvCxnSpPr/>
        </xdr:nvCxnSpPr>
        <xdr:spPr>
          <a:xfrm>
            <a:off x="5763686" y="6181725"/>
            <a:ext cx="0" cy="485775"/>
          </a:xfrm>
          <a:prstGeom prst="lin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2" name="Straight Connector 200">
            <a:extLst>
              <a:ext uri="{FF2B5EF4-FFF2-40B4-BE49-F238E27FC236}">
                <a16:creationId xmlns:a16="http://schemas.microsoft.com/office/drawing/2014/main" xmlns="" id="{00000000-0008-0000-0000-000024010000}"/>
              </a:ext>
            </a:extLst>
          </xdr:cNvPr>
          <xdr:cNvCxnSpPr/>
        </xdr:nvCxnSpPr>
        <xdr:spPr>
          <a:xfrm flipH="1">
            <a:off x="5610225" y="6657975"/>
            <a:ext cx="149325" cy="0"/>
          </a:xfrm>
          <a:prstGeom prst="line">
            <a:avLst/>
          </a:prstGeom>
          <a:ln w="19050">
            <a:solidFill>
              <a:srgbClr val="0070C0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21</xdr:col>
      <xdr:colOff>9525</xdr:colOff>
      <xdr:row>24</xdr:row>
      <xdr:rowOff>9525</xdr:rowOff>
    </xdr:from>
    <xdr:to>
      <xdr:col>21</xdr:col>
      <xdr:colOff>9525</xdr:colOff>
      <xdr:row>24</xdr:row>
      <xdr:rowOff>495300</xdr:rowOff>
    </xdr:to>
    <xdr:cxnSp macro="">
      <xdr:nvCxnSpPr>
        <xdr:cNvPr id="293" name="Straight Connector 200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CxnSpPr/>
      </xdr:nvCxnSpPr>
      <xdr:spPr>
        <a:xfrm>
          <a:off x="7553325" y="5915025"/>
          <a:ext cx="0" cy="485775"/>
        </a:xfrm>
        <a:prstGeom prst="line">
          <a:avLst/>
        </a:prstGeom>
        <a:ln w="19050">
          <a:solidFill>
            <a:srgbClr val="0070C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25</xdr:row>
      <xdr:rowOff>9525</xdr:rowOff>
    </xdr:from>
    <xdr:to>
      <xdr:col>21</xdr:col>
      <xdr:colOff>9525</xdr:colOff>
      <xdr:row>25</xdr:row>
      <xdr:rowOff>495300</xdr:rowOff>
    </xdr:to>
    <xdr:cxnSp macro="">
      <xdr:nvCxnSpPr>
        <xdr:cNvPr id="294" name="Straight Connector 200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CxnSpPr/>
      </xdr:nvCxnSpPr>
      <xdr:spPr>
        <a:xfrm>
          <a:off x="7553325" y="5915025"/>
          <a:ext cx="0" cy="485775"/>
        </a:xfrm>
        <a:prstGeom prst="line">
          <a:avLst/>
        </a:prstGeom>
        <a:ln w="19050">
          <a:solidFill>
            <a:srgbClr val="0070C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38100</xdr:colOff>
      <xdr:row>17</xdr:row>
      <xdr:rowOff>85725</xdr:rowOff>
    </xdr:from>
    <xdr:to>
      <xdr:col>29</xdr:col>
      <xdr:colOff>120463</xdr:colOff>
      <xdr:row>27</xdr:row>
      <xdr:rowOff>171450</xdr:rowOff>
    </xdr:to>
    <xdr:pic>
      <xdr:nvPicPr>
        <xdr:cNvPr id="67" name="Picture 86">
          <a:extLst>
            <a:ext uri="{FF2B5EF4-FFF2-40B4-BE49-F238E27FC236}">
              <a16:creationId xmlns:a16="http://schemas.microsoft.com/office/drawing/2014/main" xmlns="" id="{3FB8FEDC-1EA1-4F8C-AB26-2DF88C624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3714750"/>
          <a:ext cx="3797113" cy="205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304800</xdr:colOff>
      <xdr:row>15</xdr:row>
      <xdr:rowOff>104775</xdr:rowOff>
    </xdr:from>
    <xdr:to>
      <xdr:col>36</xdr:col>
      <xdr:colOff>52396</xdr:colOff>
      <xdr:row>30</xdr:row>
      <xdr:rowOff>114300</xdr:rowOff>
    </xdr:to>
    <xdr:grpSp>
      <xdr:nvGrpSpPr>
        <xdr:cNvPr id="2" name="Group 130">
          <a:extLst>
            <a:ext uri="{FF2B5EF4-FFF2-40B4-BE49-F238E27FC236}">
              <a16:creationId xmlns:a16="http://schemas.microsoft.com/office/drawing/2014/main" xmlns="" id="{A0F60B02-D808-4799-ABA5-F8B093113865}"/>
            </a:ext>
          </a:extLst>
        </xdr:cNvPr>
        <xdr:cNvGrpSpPr/>
      </xdr:nvGrpSpPr>
      <xdr:grpSpPr>
        <a:xfrm>
          <a:off x="9804400" y="3152775"/>
          <a:ext cx="6516696" cy="2867025"/>
          <a:chOff x="1605782" y="1510387"/>
          <a:chExt cx="5767396" cy="3125935"/>
        </a:xfrm>
      </xdr:grpSpPr>
      <xdr:sp macro="" textlink="">
        <xdr:nvSpPr>
          <xdr:cNvPr id="3" name="Rounded Rectangle 131">
            <a:extLst>
              <a:ext uri="{FF2B5EF4-FFF2-40B4-BE49-F238E27FC236}">
                <a16:creationId xmlns:a16="http://schemas.microsoft.com/office/drawing/2014/main" xmlns="" id="{EA8EA8C9-1EB7-4D06-8485-DF065AB078BC}"/>
              </a:ext>
            </a:extLst>
          </xdr:cNvPr>
          <xdr:cNvSpPr/>
        </xdr:nvSpPr>
        <xdr:spPr>
          <a:xfrm>
            <a:off x="1605782" y="1510387"/>
            <a:ext cx="5767396" cy="3004463"/>
          </a:xfrm>
          <a:prstGeom prst="round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sv-SE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sv-SE"/>
          </a:p>
        </xdr:txBody>
      </xdr:sp>
      <xdr:pic>
        <xdr:nvPicPr>
          <xdr:cNvPr id="4" name="Picture 132">
            <a:extLst>
              <a:ext uri="{FF2B5EF4-FFF2-40B4-BE49-F238E27FC236}">
                <a16:creationId xmlns:a16="http://schemas.microsoft.com/office/drawing/2014/main" xmlns="" id="{EEE9974E-C9B5-4DC4-8B57-3879EEA3DF8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29746" y="4257145"/>
            <a:ext cx="4619625" cy="37917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" name="Group 133">
            <a:extLst>
              <a:ext uri="{FF2B5EF4-FFF2-40B4-BE49-F238E27FC236}">
                <a16:creationId xmlns:a16="http://schemas.microsoft.com/office/drawing/2014/main" xmlns="" id="{237F35A7-7CBB-40F3-AEDC-983B0A622312}"/>
              </a:ext>
            </a:extLst>
          </xdr:cNvPr>
          <xdr:cNvGrpSpPr/>
        </xdr:nvGrpSpPr>
        <xdr:grpSpPr>
          <a:xfrm>
            <a:off x="1700636" y="1608359"/>
            <a:ext cx="5544000" cy="2647021"/>
            <a:chOff x="1700636" y="1608359"/>
            <a:chExt cx="5544000" cy="2647021"/>
          </a:xfrm>
        </xdr:grpSpPr>
        <xdr:cxnSp macro="">
          <xdr:nvCxnSpPr>
            <xdr:cNvPr id="6" name="Straight Connector 134">
              <a:extLst>
                <a:ext uri="{FF2B5EF4-FFF2-40B4-BE49-F238E27FC236}">
                  <a16:creationId xmlns:a16="http://schemas.microsoft.com/office/drawing/2014/main" xmlns="" id="{59146393-972C-4C36-927E-C2D42361C592}"/>
                </a:ext>
              </a:extLst>
            </xdr:cNvPr>
            <xdr:cNvCxnSpPr/>
          </xdr:nvCxnSpPr>
          <xdr:spPr>
            <a:xfrm>
              <a:off x="1926771" y="1885946"/>
              <a:ext cx="0" cy="216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7" name="Group 135">
              <a:extLst>
                <a:ext uri="{FF2B5EF4-FFF2-40B4-BE49-F238E27FC236}">
                  <a16:creationId xmlns:a16="http://schemas.microsoft.com/office/drawing/2014/main" xmlns="" id="{57A1F8C4-D724-4628-A8EB-17A2CFFACDA0}"/>
                </a:ext>
              </a:extLst>
            </xdr:cNvPr>
            <xdr:cNvGrpSpPr/>
          </xdr:nvGrpSpPr>
          <xdr:grpSpPr>
            <a:xfrm>
              <a:off x="2242451" y="1885946"/>
              <a:ext cx="3801949" cy="2160000"/>
              <a:chOff x="2242451" y="1885946"/>
              <a:chExt cx="3801949" cy="2105129"/>
            </a:xfrm>
          </xdr:grpSpPr>
          <xdr:cxnSp macro="">
            <xdr:nvCxnSpPr>
              <xdr:cNvPr id="117" name="Straight Connector 248">
                <a:extLst>
                  <a:ext uri="{FF2B5EF4-FFF2-40B4-BE49-F238E27FC236}">
                    <a16:creationId xmlns:a16="http://schemas.microsoft.com/office/drawing/2014/main" xmlns="" id="{3F1C049A-613C-4F67-97D1-CBF1BD2DDE53}"/>
                  </a:ext>
                </a:extLst>
              </xdr:cNvPr>
              <xdr:cNvCxnSpPr/>
            </xdr:nvCxnSpPr>
            <xdr:spPr>
              <a:xfrm>
                <a:off x="2242451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8" name="Straight Connector 249">
                <a:extLst>
                  <a:ext uri="{FF2B5EF4-FFF2-40B4-BE49-F238E27FC236}">
                    <a16:creationId xmlns:a16="http://schemas.microsoft.com/office/drawing/2014/main" xmlns="" id="{BFE2ACCD-CE77-46A7-B1AA-417CAD9CEDF2}"/>
                  </a:ext>
                </a:extLst>
              </xdr:cNvPr>
              <xdr:cNvCxnSpPr/>
            </xdr:nvCxnSpPr>
            <xdr:spPr>
              <a:xfrm>
                <a:off x="28764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9" name="Straight Connector 250">
                <a:extLst>
                  <a:ext uri="{FF2B5EF4-FFF2-40B4-BE49-F238E27FC236}">
                    <a16:creationId xmlns:a16="http://schemas.microsoft.com/office/drawing/2014/main" xmlns="" id="{8907A1D5-4972-43B0-A098-CF875F40FEF4}"/>
                  </a:ext>
                </a:extLst>
              </xdr:cNvPr>
              <xdr:cNvCxnSpPr/>
            </xdr:nvCxnSpPr>
            <xdr:spPr>
              <a:xfrm>
                <a:off x="35100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0" name="Straight Connector 251">
                <a:extLst>
                  <a:ext uri="{FF2B5EF4-FFF2-40B4-BE49-F238E27FC236}">
                    <a16:creationId xmlns:a16="http://schemas.microsoft.com/office/drawing/2014/main" xmlns="" id="{4EA50CD8-17FA-4978-92DD-6421CB48CF1A}"/>
                  </a:ext>
                </a:extLst>
              </xdr:cNvPr>
              <xdr:cNvCxnSpPr/>
            </xdr:nvCxnSpPr>
            <xdr:spPr>
              <a:xfrm>
                <a:off x="41436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1" name="Straight Connector 252">
                <a:extLst>
                  <a:ext uri="{FF2B5EF4-FFF2-40B4-BE49-F238E27FC236}">
                    <a16:creationId xmlns:a16="http://schemas.microsoft.com/office/drawing/2014/main" xmlns="" id="{D75630E4-6AB6-419A-84C1-83B146D30371}"/>
                  </a:ext>
                </a:extLst>
              </xdr:cNvPr>
              <xdr:cNvCxnSpPr/>
            </xdr:nvCxnSpPr>
            <xdr:spPr>
              <a:xfrm>
                <a:off x="47772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2" name="Straight Connector 253">
                <a:extLst>
                  <a:ext uri="{FF2B5EF4-FFF2-40B4-BE49-F238E27FC236}">
                    <a16:creationId xmlns:a16="http://schemas.microsoft.com/office/drawing/2014/main" xmlns="" id="{006EF060-3205-42EB-A01C-429380D260C0}"/>
                  </a:ext>
                </a:extLst>
              </xdr:cNvPr>
              <xdr:cNvCxnSpPr/>
            </xdr:nvCxnSpPr>
            <xdr:spPr>
              <a:xfrm>
                <a:off x="54108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3" name="Straight Connector 254">
                <a:extLst>
                  <a:ext uri="{FF2B5EF4-FFF2-40B4-BE49-F238E27FC236}">
                    <a16:creationId xmlns:a16="http://schemas.microsoft.com/office/drawing/2014/main" xmlns="" id="{672FC485-FB73-4068-8C3F-194997416F25}"/>
                  </a:ext>
                </a:extLst>
              </xdr:cNvPr>
              <xdr:cNvCxnSpPr/>
            </xdr:nvCxnSpPr>
            <xdr:spPr>
              <a:xfrm>
                <a:off x="60444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8" name="Group 136">
              <a:extLst>
                <a:ext uri="{FF2B5EF4-FFF2-40B4-BE49-F238E27FC236}">
                  <a16:creationId xmlns:a16="http://schemas.microsoft.com/office/drawing/2014/main" xmlns="" id="{9F882F4A-B949-41B0-99BC-16795616FFFB}"/>
                </a:ext>
              </a:extLst>
            </xdr:cNvPr>
            <xdr:cNvGrpSpPr/>
          </xdr:nvGrpSpPr>
          <xdr:grpSpPr>
            <a:xfrm>
              <a:off x="2559600" y="1885946"/>
              <a:ext cx="3801600" cy="2160000"/>
              <a:chOff x="2559600" y="1885946"/>
              <a:chExt cx="3801600" cy="801093"/>
            </a:xfrm>
          </xdr:grpSpPr>
          <xdr:cxnSp macro="">
            <xdr:nvCxnSpPr>
              <xdr:cNvPr id="113" name="Straight Connector 244">
                <a:extLst>
                  <a:ext uri="{FF2B5EF4-FFF2-40B4-BE49-F238E27FC236}">
                    <a16:creationId xmlns:a16="http://schemas.microsoft.com/office/drawing/2014/main" xmlns="" id="{BEF679A2-D72E-434A-A042-D66FF82D1703}"/>
                  </a:ext>
                </a:extLst>
              </xdr:cNvPr>
              <xdr:cNvCxnSpPr/>
            </xdr:nvCxnSpPr>
            <xdr:spPr>
              <a:xfrm>
                <a:off x="2559600" y="1885946"/>
                <a:ext cx="0" cy="801093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4" name="Straight Connector 245">
                <a:extLst>
                  <a:ext uri="{FF2B5EF4-FFF2-40B4-BE49-F238E27FC236}">
                    <a16:creationId xmlns:a16="http://schemas.microsoft.com/office/drawing/2014/main" xmlns="" id="{D1A15992-1139-4589-BD05-57B6F791C3D1}"/>
                  </a:ext>
                </a:extLst>
              </xdr:cNvPr>
              <xdr:cNvCxnSpPr/>
            </xdr:nvCxnSpPr>
            <xdr:spPr>
              <a:xfrm>
                <a:off x="3826800" y="1885946"/>
                <a:ext cx="0" cy="801093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5" name="Straight Connector 246">
                <a:extLst>
                  <a:ext uri="{FF2B5EF4-FFF2-40B4-BE49-F238E27FC236}">
                    <a16:creationId xmlns:a16="http://schemas.microsoft.com/office/drawing/2014/main" xmlns="" id="{405A00A8-9D19-4C8F-86D6-C05743D8A877}"/>
                  </a:ext>
                </a:extLst>
              </xdr:cNvPr>
              <xdr:cNvCxnSpPr/>
            </xdr:nvCxnSpPr>
            <xdr:spPr>
              <a:xfrm>
                <a:off x="5094000" y="1885946"/>
                <a:ext cx="0" cy="801093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6" name="Straight Connector 247">
                <a:extLst>
                  <a:ext uri="{FF2B5EF4-FFF2-40B4-BE49-F238E27FC236}">
                    <a16:creationId xmlns:a16="http://schemas.microsoft.com/office/drawing/2014/main" xmlns="" id="{24B8438E-98F7-44EB-A1B2-9ABA2A8BBD88}"/>
                  </a:ext>
                </a:extLst>
              </xdr:cNvPr>
              <xdr:cNvCxnSpPr/>
            </xdr:nvCxnSpPr>
            <xdr:spPr>
              <a:xfrm>
                <a:off x="6361200" y="1885946"/>
                <a:ext cx="0" cy="801093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9" name="Straight Connector 137">
              <a:extLst>
                <a:ext uri="{FF2B5EF4-FFF2-40B4-BE49-F238E27FC236}">
                  <a16:creationId xmlns:a16="http://schemas.microsoft.com/office/drawing/2014/main" xmlns="" id="{558102FA-2B8B-41C4-868E-2858819F6D17}"/>
                </a:ext>
              </a:extLst>
            </xdr:cNvPr>
            <xdr:cNvCxnSpPr/>
          </xdr:nvCxnSpPr>
          <xdr:spPr>
            <a:xfrm>
              <a:off x="6678000" y="1885946"/>
              <a:ext cx="0" cy="216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10" name="Group 138">
              <a:extLst>
                <a:ext uri="{FF2B5EF4-FFF2-40B4-BE49-F238E27FC236}">
                  <a16:creationId xmlns:a16="http://schemas.microsoft.com/office/drawing/2014/main" xmlns="" id="{8788A6C1-73A1-4F6C-A59B-4521AFC347C4}"/>
                </a:ext>
              </a:extLst>
            </xdr:cNvPr>
            <xdr:cNvGrpSpPr/>
          </xdr:nvGrpSpPr>
          <xdr:grpSpPr>
            <a:xfrm>
              <a:off x="3192028" y="1885945"/>
              <a:ext cx="3802772" cy="2190658"/>
              <a:chOff x="3192028" y="1908679"/>
              <a:chExt cx="3802772" cy="2165749"/>
            </a:xfrm>
          </xdr:grpSpPr>
          <xdr:cxnSp macro="">
            <xdr:nvCxnSpPr>
              <xdr:cNvPr id="109" name="Straight Connector 240">
                <a:extLst>
                  <a:ext uri="{FF2B5EF4-FFF2-40B4-BE49-F238E27FC236}">
                    <a16:creationId xmlns:a16="http://schemas.microsoft.com/office/drawing/2014/main" xmlns="" id="{67889637-0641-4E18-8CA8-D8D6BC10F785}"/>
                  </a:ext>
                </a:extLst>
              </xdr:cNvPr>
              <xdr:cNvCxnSpPr/>
            </xdr:nvCxnSpPr>
            <xdr:spPr>
              <a:xfrm>
                <a:off x="3192028" y="1908679"/>
                <a:ext cx="0" cy="213544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0" name="Straight Connector 241">
                <a:extLst>
                  <a:ext uri="{FF2B5EF4-FFF2-40B4-BE49-F238E27FC236}">
                    <a16:creationId xmlns:a16="http://schemas.microsoft.com/office/drawing/2014/main" xmlns="" id="{43488D77-6960-4A3C-9BD4-5C169A2A4E8B}"/>
                  </a:ext>
                </a:extLst>
              </xdr:cNvPr>
              <xdr:cNvCxnSpPr/>
            </xdr:nvCxnSpPr>
            <xdr:spPr>
              <a:xfrm>
                <a:off x="4460400" y="1938989"/>
                <a:ext cx="0" cy="213543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1" name="Straight Connector 242">
                <a:extLst>
                  <a:ext uri="{FF2B5EF4-FFF2-40B4-BE49-F238E27FC236}">
                    <a16:creationId xmlns:a16="http://schemas.microsoft.com/office/drawing/2014/main" xmlns="" id="{BED2D540-1587-4FC1-8177-35C409A498B0}"/>
                  </a:ext>
                </a:extLst>
              </xdr:cNvPr>
              <xdr:cNvCxnSpPr/>
            </xdr:nvCxnSpPr>
            <xdr:spPr>
              <a:xfrm>
                <a:off x="5727600" y="1923834"/>
                <a:ext cx="0" cy="213543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2" name="Straight Connector 243">
                <a:extLst>
                  <a:ext uri="{FF2B5EF4-FFF2-40B4-BE49-F238E27FC236}">
                    <a16:creationId xmlns:a16="http://schemas.microsoft.com/office/drawing/2014/main" xmlns="" id="{0E8ECA6D-5DB7-4CE6-91E8-C0AC69553A97}"/>
                  </a:ext>
                </a:extLst>
              </xdr:cNvPr>
              <xdr:cNvCxnSpPr/>
            </xdr:nvCxnSpPr>
            <xdr:spPr>
              <a:xfrm>
                <a:off x="6994800" y="1916257"/>
                <a:ext cx="0" cy="213543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1" name="Rectangle 139">
              <a:extLst>
                <a:ext uri="{FF2B5EF4-FFF2-40B4-BE49-F238E27FC236}">
                  <a16:creationId xmlns:a16="http://schemas.microsoft.com/office/drawing/2014/main" xmlns="" id="{77671864-6AD5-48AB-BF31-012B44EBACC9}"/>
                </a:ext>
              </a:extLst>
            </xdr:cNvPr>
            <xdr:cNvSpPr/>
          </xdr:nvSpPr>
          <xdr:spPr>
            <a:xfrm>
              <a:off x="1845129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12" name="Rectangle 140">
              <a:extLst>
                <a:ext uri="{FF2B5EF4-FFF2-40B4-BE49-F238E27FC236}">
                  <a16:creationId xmlns:a16="http://schemas.microsoft.com/office/drawing/2014/main" xmlns="" id="{F7A727E6-436F-4960-91F1-78F3D43B9FE1}"/>
                </a:ext>
              </a:extLst>
            </xdr:cNvPr>
            <xdr:cNvSpPr/>
          </xdr:nvSpPr>
          <xdr:spPr>
            <a:xfrm>
              <a:off x="2483286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13" name="Rectangle 141">
              <a:extLst>
                <a:ext uri="{FF2B5EF4-FFF2-40B4-BE49-F238E27FC236}">
                  <a16:creationId xmlns:a16="http://schemas.microsoft.com/office/drawing/2014/main" xmlns="" id="{1F4A5AAA-7950-4A8D-96D5-55CCAE6F0F9B}"/>
                </a:ext>
              </a:extLst>
            </xdr:cNvPr>
            <xdr:cNvSpPr/>
          </xdr:nvSpPr>
          <xdr:spPr>
            <a:xfrm>
              <a:off x="3111914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14" name="Rectangle 142">
              <a:extLst>
                <a:ext uri="{FF2B5EF4-FFF2-40B4-BE49-F238E27FC236}">
                  <a16:creationId xmlns:a16="http://schemas.microsoft.com/office/drawing/2014/main" xmlns="" id="{9790B4DC-C819-4403-8CD5-443C08020D73}"/>
                </a:ext>
              </a:extLst>
            </xdr:cNvPr>
            <xdr:cNvSpPr/>
          </xdr:nvSpPr>
          <xdr:spPr>
            <a:xfrm>
              <a:off x="3750071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15" name="Rectangle 143">
              <a:extLst>
                <a:ext uri="{FF2B5EF4-FFF2-40B4-BE49-F238E27FC236}">
                  <a16:creationId xmlns:a16="http://schemas.microsoft.com/office/drawing/2014/main" xmlns="" id="{CA05FB07-5D7B-4F9F-845A-B26CA7C6E822}"/>
                </a:ext>
              </a:extLst>
            </xdr:cNvPr>
            <xdr:cNvSpPr/>
          </xdr:nvSpPr>
          <xdr:spPr>
            <a:xfrm>
              <a:off x="4378036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16" name="Rectangle 144">
              <a:extLst>
                <a:ext uri="{FF2B5EF4-FFF2-40B4-BE49-F238E27FC236}">
                  <a16:creationId xmlns:a16="http://schemas.microsoft.com/office/drawing/2014/main" xmlns="" id="{4CAE0214-8292-4185-9AC2-D7F70F03061D}"/>
                </a:ext>
              </a:extLst>
            </xdr:cNvPr>
            <xdr:cNvSpPr/>
          </xdr:nvSpPr>
          <xdr:spPr>
            <a:xfrm>
              <a:off x="5016894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17" name="Rectangle 145">
              <a:extLst>
                <a:ext uri="{FF2B5EF4-FFF2-40B4-BE49-F238E27FC236}">
                  <a16:creationId xmlns:a16="http://schemas.microsoft.com/office/drawing/2014/main" xmlns="" id="{10A3E8F1-5CFF-4C10-AF42-6F2F9FC31287}"/>
                </a:ext>
              </a:extLst>
            </xdr:cNvPr>
            <xdr:cNvSpPr/>
          </xdr:nvSpPr>
          <xdr:spPr>
            <a:xfrm>
              <a:off x="5653686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18" name="Rectangle 146">
              <a:extLst>
                <a:ext uri="{FF2B5EF4-FFF2-40B4-BE49-F238E27FC236}">
                  <a16:creationId xmlns:a16="http://schemas.microsoft.com/office/drawing/2014/main" xmlns="" id="{D31FEB07-1699-45E2-B5D3-9939A70AC821}"/>
                </a:ext>
              </a:extLst>
            </xdr:cNvPr>
            <xdr:cNvSpPr/>
          </xdr:nvSpPr>
          <xdr:spPr>
            <a:xfrm>
              <a:off x="1851890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19" name="Rectangle 147">
              <a:extLst>
                <a:ext uri="{FF2B5EF4-FFF2-40B4-BE49-F238E27FC236}">
                  <a16:creationId xmlns:a16="http://schemas.microsoft.com/office/drawing/2014/main" xmlns="" id="{E3AE20CF-1242-4241-B3B1-574C0D59ED6F}"/>
                </a:ext>
              </a:extLst>
            </xdr:cNvPr>
            <xdr:cNvSpPr/>
          </xdr:nvSpPr>
          <xdr:spPr>
            <a:xfrm>
              <a:off x="3118675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20" name="Rectangle 148">
              <a:extLst>
                <a:ext uri="{FF2B5EF4-FFF2-40B4-BE49-F238E27FC236}">
                  <a16:creationId xmlns:a16="http://schemas.microsoft.com/office/drawing/2014/main" xmlns="" id="{05ED64AB-1A69-4D49-967E-8DF8E13CB849}"/>
                </a:ext>
              </a:extLst>
            </xdr:cNvPr>
            <xdr:cNvSpPr/>
          </xdr:nvSpPr>
          <xdr:spPr>
            <a:xfrm>
              <a:off x="4378036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21" name="Rectangle 149">
              <a:extLst>
                <a:ext uri="{FF2B5EF4-FFF2-40B4-BE49-F238E27FC236}">
                  <a16:creationId xmlns:a16="http://schemas.microsoft.com/office/drawing/2014/main" xmlns="" id="{8C9EC273-03BE-4040-9866-AE7667B15B92}"/>
                </a:ext>
              </a:extLst>
            </xdr:cNvPr>
            <xdr:cNvSpPr/>
          </xdr:nvSpPr>
          <xdr:spPr>
            <a:xfrm>
              <a:off x="5653686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grpSp>
          <xdr:nvGrpSpPr>
            <xdr:cNvPr id="22" name="Group 150">
              <a:extLst>
                <a:ext uri="{FF2B5EF4-FFF2-40B4-BE49-F238E27FC236}">
                  <a16:creationId xmlns:a16="http://schemas.microsoft.com/office/drawing/2014/main" xmlns="" id="{89EF5644-43D1-4FCD-B08A-60DFB545A85D}"/>
                </a:ext>
              </a:extLst>
            </xdr:cNvPr>
            <xdr:cNvGrpSpPr/>
          </xdr:nvGrpSpPr>
          <xdr:grpSpPr>
            <a:xfrm>
              <a:off x="1918414" y="2220506"/>
              <a:ext cx="324000" cy="180000"/>
              <a:chOff x="1910250" y="2645034"/>
              <a:chExt cx="324000" cy="180000"/>
            </a:xfrm>
          </xdr:grpSpPr>
          <xdr:cxnSp macro="">
            <xdr:nvCxnSpPr>
              <xdr:cNvPr id="107" name="Straight Connector 238">
                <a:extLst>
                  <a:ext uri="{FF2B5EF4-FFF2-40B4-BE49-F238E27FC236}">
                    <a16:creationId xmlns:a16="http://schemas.microsoft.com/office/drawing/2014/main" xmlns="" id="{11F8B49A-3FF3-4A60-99BD-5441AB1ABED6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1910250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8" name="Straight Connector 239">
                <a:extLst>
                  <a:ext uri="{FF2B5EF4-FFF2-40B4-BE49-F238E27FC236}">
                    <a16:creationId xmlns:a16="http://schemas.microsoft.com/office/drawing/2014/main" xmlns="" id="{673E64E1-3921-4F52-AE23-245210480032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2090250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23" name="Group 151">
              <a:extLst>
                <a:ext uri="{FF2B5EF4-FFF2-40B4-BE49-F238E27FC236}">
                  <a16:creationId xmlns:a16="http://schemas.microsoft.com/office/drawing/2014/main" xmlns="" id="{EA865C86-67C3-4FDB-92FB-73E0F64826B0}"/>
                </a:ext>
              </a:extLst>
            </xdr:cNvPr>
            <xdr:cNvGrpSpPr/>
          </xdr:nvGrpSpPr>
          <xdr:grpSpPr>
            <a:xfrm>
              <a:off x="2548407" y="2220506"/>
              <a:ext cx="324000" cy="180000"/>
              <a:chOff x="2540243" y="2645034"/>
              <a:chExt cx="324000" cy="180000"/>
            </a:xfrm>
          </xdr:grpSpPr>
          <xdr:cxnSp macro="">
            <xdr:nvCxnSpPr>
              <xdr:cNvPr id="105" name="Straight Connector 236">
                <a:extLst>
                  <a:ext uri="{FF2B5EF4-FFF2-40B4-BE49-F238E27FC236}">
                    <a16:creationId xmlns:a16="http://schemas.microsoft.com/office/drawing/2014/main" xmlns="" id="{F203BD56-7DEE-4084-BCA9-8B8CCA2E98B8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2540243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6" name="Straight Connector 237">
                <a:extLst>
                  <a:ext uri="{FF2B5EF4-FFF2-40B4-BE49-F238E27FC236}">
                    <a16:creationId xmlns:a16="http://schemas.microsoft.com/office/drawing/2014/main" xmlns="" id="{EC28A62D-547C-46F3-A42A-C155AF1DFBE8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2720243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24" name="Group 152">
              <a:extLst>
                <a:ext uri="{FF2B5EF4-FFF2-40B4-BE49-F238E27FC236}">
                  <a16:creationId xmlns:a16="http://schemas.microsoft.com/office/drawing/2014/main" xmlns="" id="{12359176-E7A4-4C0E-B74C-8F360F28A7AD}"/>
                </a:ext>
              </a:extLst>
            </xdr:cNvPr>
            <xdr:cNvGrpSpPr/>
          </xdr:nvGrpSpPr>
          <xdr:grpSpPr>
            <a:xfrm>
              <a:off x="3171767" y="2220506"/>
              <a:ext cx="324000" cy="180000"/>
              <a:chOff x="3171767" y="2645034"/>
              <a:chExt cx="324000" cy="180000"/>
            </a:xfrm>
          </xdr:grpSpPr>
          <xdr:cxnSp macro="">
            <xdr:nvCxnSpPr>
              <xdr:cNvPr id="103" name="Straight Connector 234">
                <a:extLst>
                  <a:ext uri="{FF2B5EF4-FFF2-40B4-BE49-F238E27FC236}">
                    <a16:creationId xmlns:a16="http://schemas.microsoft.com/office/drawing/2014/main" xmlns="" id="{6B9779F7-5110-4BC1-A659-6398F0140457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3171767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4" name="Straight Connector 235">
                <a:extLst>
                  <a:ext uri="{FF2B5EF4-FFF2-40B4-BE49-F238E27FC236}">
                    <a16:creationId xmlns:a16="http://schemas.microsoft.com/office/drawing/2014/main" xmlns="" id="{19B983BE-1779-454D-A8A7-5E19D5ECAAAF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3351767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25" name="Group 153">
              <a:extLst>
                <a:ext uri="{FF2B5EF4-FFF2-40B4-BE49-F238E27FC236}">
                  <a16:creationId xmlns:a16="http://schemas.microsoft.com/office/drawing/2014/main" xmlns="" id="{265CEFD7-02F7-44D9-9973-030E849D1C5F}"/>
                </a:ext>
              </a:extLst>
            </xdr:cNvPr>
            <xdr:cNvGrpSpPr/>
          </xdr:nvGrpSpPr>
          <xdr:grpSpPr>
            <a:xfrm>
              <a:off x="3809924" y="2220506"/>
              <a:ext cx="324000" cy="180000"/>
              <a:chOff x="3801760" y="2645034"/>
              <a:chExt cx="324000" cy="180000"/>
            </a:xfrm>
          </xdr:grpSpPr>
          <xdr:cxnSp macro="">
            <xdr:nvCxnSpPr>
              <xdr:cNvPr id="101" name="Straight Connector 232">
                <a:extLst>
                  <a:ext uri="{FF2B5EF4-FFF2-40B4-BE49-F238E27FC236}">
                    <a16:creationId xmlns:a16="http://schemas.microsoft.com/office/drawing/2014/main" xmlns="" id="{E62A46B2-3CE7-4E48-BB61-10F39664E03F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3801760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2" name="Straight Connector 233">
                <a:extLst>
                  <a:ext uri="{FF2B5EF4-FFF2-40B4-BE49-F238E27FC236}">
                    <a16:creationId xmlns:a16="http://schemas.microsoft.com/office/drawing/2014/main" xmlns="" id="{6E1EB72E-18C5-4C20-AF18-8880F1617E14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3981760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26" name="Group 154">
              <a:extLst>
                <a:ext uri="{FF2B5EF4-FFF2-40B4-BE49-F238E27FC236}">
                  <a16:creationId xmlns:a16="http://schemas.microsoft.com/office/drawing/2014/main" xmlns="" id="{6EA432F3-6900-49AF-BE34-024AB9DC26E9}"/>
                </a:ext>
              </a:extLst>
            </xdr:cNvPr>
            <xdr:cNvGrpSpPr/>
          </xdr:nvGrpSpPr>
          <xdr:grpSpPr>
            <a:xfrm>
              <a:off x="4439559" y="2220506"/>
              <a:ext cx="324000" cy="180000"/>
              <a:chOff x="4423231" y="2645034"/>
              <a:chExt cx="324000" cy="180000"/>
            </a:xfrm>
          </xdr:grpSpPr>
          <xdr:cxnSp macro="">
            <xdr:nvCxnSpPr>
              <xdr:cNvPr id="99" name="Straight Connector 230">
                <a:extLst>
                  <a:ext uri="{FF2B5EF4-FFF2-40B4-BE49-F238E27FC236}">
                    <a16:creationId xmlns:a16="http://schemas.microsoft.com/office/drawing/2014/main" xmlns="" id="{034B34F1-B116-41B4-8B6F-71AAA3780F98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4423231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0" name="Straight Connector 231">
                <a:extLst>
                  <a:ext uri="{FF2B5EF4-FFF2-40B4-BE49-F238E27FC236}">
                    <a16:creationId xmlns:a16="http://schemas.microsoft.com/office/drawing/2014/main" xmlns="" id="{8DAFC2B8-752F-4A37-AE0A-2DFC19BAF519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4603231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27" name="Group 155">
              <a:extLst>
                <a:ext uri="{FF2B5EF4-FFF2-40B4-BE49-F238E27FC236}">
                  <a16:creationId xmlns:a16="http://schemas.microsoft.com/office/drawing/2014/main" xmlns="" id="{8431DEED-17C1-4F13-A1F9-A27E9628D430}"/>
                </a:ext>
              </a:extLst>
            </xdr:cNvPr>
            <xdr:cNvGrpSpPr/>
          </xdr:nvGrpSpPr>
          <xdr:grpSpPr>
            <a:xfrm>
              <a:off x="5085880" y="2220506"/>
              <a:ext cx="324000" cy="180000"/>
              <a:chOff x="5053224" y="2645034"/>
              <a:chExt cx="324000" cy="180000"/>
            </a:xfrm>
          </xdr:grpSpPr>
          <xdr:cxnSp macro="">
            <xdr:nvCxnSpPr>
              <xdr:cNvPr id="97" name="Straight Connector 228">
                <a:extLst>
                  <a:ext uri="{FF2B5EF4-FFF2-40B4-BE49-F238E27FC236}">
                    <a16:creationId xmlns:a16="http://schemas.microsoft.com/office/drawing/2014/main" xmlns="" id="{196FF22B-8559-4110-8264-1EB25C1B76C7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5053224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8" name="Straight Connector 229">
                <a:extLst>
                  <a:ext uri="{FF2B5EF4-FFF2-40B4-BE49-F238E27FC236}">
                    <a16:creationId xmlns:a16="http://schemas.microsoft.com/office/drawing/2014/main" xmlns="" id="{E9013E54-B3C8-47F6-80EB-1B83A3E17B6C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5233224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28" name="Group 156">
              <a:extLst>
                <a:ext uri="{FF2B5EF4-FFF2-40B4-BE49-F238E27FC236}">
                  <a16:creationId xmlns:a16="http://schemas.microsoft.com/office/drawing/2014/main" xmlns="" id="{2DE759ED-CA36-4906-A072-C8443F76284A}"/>
                </a:ext>
              </a:extLst>
            </xdr:cNvPr>
            <xdr:cNvGrpSpPr/>
          </xdr:nvGrpSpPr>
          <xdr:grpSpPr>
            <a:xfrm>
              <a:off x="5717404" y="2220506"/>
              <a:ext cx="324000" cy="180000"/>
              <a:chOff x="5684748" y="2645034"/>
              <a:chExt cx="324000" cy="180000"/>
            </a:xfrm>
          </xdr:grpSpPr>
          <xdr:cxnSp macro="">
            <xdr:nvCxnSpPr>
              <xdr:cNvPr id="95" name="Straight Connector 226">
                <a:extLst>
                  <a:ext uri="{FF2B5EF4-FFF2-40B4-BE49-F238E27FC236}">
                    <a16:creationId xmlns:a16="http://schemas.microsoft.com/office/drawing/2014/main" xmlns="" id="{AA37117E-71C5-4853-AB29-DFB199CCBE8D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5684748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6" name="Straight Connector 227">
                <a:extLst>
                  <a:ext uri="{FF2B5EF4-FFF2-40B4-BE49-F238E27FC236}">
                    <a16:creationId xmlns:a16="http://schemas.microsoft.com/office/drawing/2014/main" xmlns="" id="{1B124643-4551-49ED-8D1C-4E3EDB382CCE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5864748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29" name="Group 158">
              <a:extLst>
                <a:ext uri="{FF2B5EF4-FFF2-40B4-BE49-F238E27FC236}">
                  <a16:creationId xmlns:a16="http://schemas.microsoft.com/office/drawing/2014/main" xmlns="" id="{E21FA7E5-4843-4146-8A0C-9E266AD3008A}"/>
                </a:ext>
              </a:extLst>
            </xdr:cNvPr>
            <xdr:cNvGrpSpPr/>
          </xdr:nvGrpSpPr>
          <xdr:grpSpPr>
            <a:xfrm>
              <a:off x="6347701" y="2220506"/>
              <a:ext cx="324000" cy="180000"/>
              <a:chOff x="5684748" y="2645034"/>
              <a:chExt cx="324000" cy="180000"/>
            </a:xfrm>
          </xdr:grpSpPr>
          <xdr:cxnSp macro="">
            <xdr:nvCxnSpPr>
              <xdr:cNvPr id="93" name="Straight Connector 222">
                <a:extLst>
                  <a:ext uri="{FF2B5EF4-FFF2-40B4-BE49-F238E27FC236}">
                    <a16:creationId xmlns:a16="http://schemas.microsoft.com/office/drawing/2014/main" xmlns="" id="{663FEF30-0C39-424E-BD78-5E7A98052188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5684748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4" name="Straight Connector 223">
                <a:extLst>
                  <a:ext uri="{FF2B5EF4-FFF2-40B4-BE49-F238E27FC236}">
                    <a16:creationId xmlns:a16="http://schemas.microsoft.com/office/drawing/2014/main" xmlns="" id="{7369AC23-1EA3-468A-80B3-0A3E427CA13B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5864748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0" name="Group 159">
              <a:extLst>
                <a:ext uri="{FF2B5EF4-FFF2-40B4-BE49-F238E27FC236}">
                  <a16:creationId xmlns:a16="http://schemas.microsoft.com/office/drawing/2014/main" xmlns="" id="{C274F9FC-6089-4A2F-BA42-14BE072D2C14}"/>
                </a:ext>
              </a:extLst>
            </xdr:cNvPr>
            <xdr:cNvGrpSpPr/>
          </xdr:nvGrpSpPr>
          <xdr:grpSpPr>
            <a:xfrm>
              <a:off x="1914643" y="2646219"/>
              <a:ext cx="648000" cy="180000"/>
              <a:chOff x="1914643" y="3111567"/>
              <a:chExt cx="648000" cy="180000"/>
            </a:xfrm>
          </xdr:grpSpPr>
          <xdr:cxnSp macro="">
            <xdr:nvCxnSpPr>
              <xdr:cNvPr id="91" name="Straight Connector 220">
                <a:extLst>
                  <a:ext uri="{FF2B5EF4-FFF2-40B4-BE49-F238E27FC236}">
                    <a16:creationId xmlns:a16="http://schemas.microsoft.com/office/drawing/2014/main" xmlns="" id="{78CD3000-23FB-458D-9BE1-A21D033AF748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1914643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2" name="Straight Connector 221">
                <a:extLst>
                  <a:ext uri="{FF2B5EF4-FFF2-40B4-BE49-F238E27FC236}">
                    <a16:creationId xmlns:a16="http://schemas.microsoft.com/office/drawing/2014/main" xmlns="" id="{19F9A32F-3D9D-4689-B730-420B823356E9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2094643" y="3111567"/>
                <a:ext cx="46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1" name="Group 160">
              <a:extLst>
                <a:ext uri="{FF2B5EF4-FFF2-40B4-BE49-F238E27FC236}">
                  <a16:creationId xmlns:a16="http://schemas.microsoft.com/office/drawing/2014/main" xmlns="" id="{403A1031-0820-48AB-916A-B362FE316D3A}"/>
                </a:ext>
              </a:extLst>
            </xdr:cNvPr>
            <xdr:cNvGrpSpPr/>
          </xdr:nvGrpSpPr>
          <xdr:grpSpPr>
            <a:xfrm>
              <a:off x="3176160" y="2646219"/>
              <a:ext cx="648000" cy="180000"/>
              <a:chOff x="3176160" y="3111567"/>
              <a:chExt cx="648000" cy="180000"/>
            </a:xfrm>
          </xdr:grpSpPr>
          <xdr:cxnSp macro="">
            <xdr:nvCxnSpPr>
              <xdr:cNvPr id="89" name="Straight Connector 218">
                <a:extLst>
                  <a:ext uri="{FF2B5EF4-FFF2-40B4-BE49-F238E27FC236}">
                    <a16:creationId xmlns:a16="http://schemas.microsoft.com/office/drawing/2014/main" xmlns="" id="{E1A1215D-131E-4E86-99AE-E8733286122B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3176160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0" name="Straight Connector 219">
                <a:extLst>
                  <a:ext uri="{FF2B5EF4-FFF2-40B4-BE49-F238E27FC236}">
                    <a16:creationId xmlns:a16="http://schemas.microsoft.com/office/drawing/2014/main" xmlns="" id="{15ADB217-CADC-4BA0-B111-5E54D3524965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3356160" y="3111567"/>
                <a:ext cx="46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2" name="Group 161">
              <a:extLst>
                <a:ext uri="{FF2B5EF4-FFF2-40B4-BE49-F238E27FC236}">
                  <a16:creationId xmlns:a16="http://schemas.microsoft.com/office/drawing/2014/main" xmlns="" id="{5A3854B2-9ED2-4207-B0EA-96FA1923E868}"/>
                </a:ext>
              </a:extLst>
            </xdr:cNvPr>
            <xdr:cNvGrpSpPr/>
          </xdr:nvGrpSpPr>
          <xdr:grpSpPr>
            <a:xfrm>
              <a:off x="4443952" y="2646219"/>
              <a:ext cx="648000" cy="180000"/>
              <a:chOff x="4427624" y="3111567"/>
              <a:chExt cx="648000" cy="180000"/>
            </a:xfrm>
          </xdr:grpSpPr>
          <xdr:cxnSp macro="">
            <xdr:nvCxnSpPr>
              <xdr:cNvPr id="87" name="Straight Connector 216">
                <a:extLst>
                  <a:ext uri="{FF2B5EF4-FFF2-40B4-BE49-F238E27FC236}">
                    <a16:creationId xmlns:a16="http://schemas.microsoft.com/office/drawing/2014/main" xmlns="" id="{21843813-16F3-41E9-ADF7-BB700329C599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4427624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8" name="Straight Connector 217">
                <a:extLst>
                  <a:ext uri="{FF2B5EF4-FFF2-40B4-BE49-F238E27FC236}">
                    <a16:creationId xmlns:a16="http://schemas.microsoft.com/office/drawing/2014/main" xmlns="" id="{77F102C0-F5E4-4B46-8C5A-01FB6BA5E502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4607624" y="3111567"/>
                <a:ext cx="46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3" name="Group 162">
              <a:extLst>
                <a:ext uri="{FF2B5EF4-FFF2-40B4-BE49-F238E27FC236}">
                  <a16:creationId xmlns:a16="http://schemas.microsoft.com/office/drawing/2014/main" xmlns="" id="{D6CE24EF-9B05-45FD-B407-D54BDCEC0875}"/>
                </a:ext>
              </a:extLst>
            </xdr:cNvPr>
            <xdr:cNvGrpSpPr/>
          </xdr:nvGrpSpPr>
          <xdr:grpSpPr>
            <a:xfrm>
              <a:off x="5705469" y="2646219"/>
              <a:ext cx="648000" cy="180000"/>
              <a:chOff x="5689141" y="3111567"/>
              <a:chExt cx="648000" cy="180000"/>
            </a:xfrm>
          </xdr:grpSpPr>
          <xdr:cxnSp macro="">
            <xdr:nvCxnSpPr>
              <xdr:cNvPr id="85" name="Straight Connector 214">
                <a:extLst>
                  <a:ext uri="{FF2B5EF4-FFF2-40B4-BE49-F238E27FC236}">
                    <a16:creationId xmlns:a16="http://schemas.microsoft.com/office/drawing/2014/main" xmlns="" id="{27DB83CD-175B-4DC1-AC11-3AA29F1C451D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5689141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6" name="Straight Connector 215">
                <a:extLst>
                  <a:ext uri="{FF2B5EF4-FFF2-40B4-BE49-F238E27FC236}">
                    <a16:creationId xmlns:a16="http://schemas.microsoft.com/office/drawing/2014/main" xmlns="" id="{363899F7-A3CB-4146-861D-C59A6B6E8B32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5869141" y="3111567"/>
                <a:ext cx="46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34" name="Rectangle 163">
              <a:extLst>
                <a:ext uri="{FF2B5EF4-FFF2-40B4-BE49-F238E27FC236}">
                  <a16:creationId xmlns:a16="http://schemas.microsoft.com/office/drawing/2014/main" xmlns="" id="{4ADB281D-D7E3-46FE-BEE9-F8242992F216}"/>
                </a:ext>
              </a:extLst>
            </xdr:cNvPr>
            <xdr:cNvSpPr/>
          </xdr:nvSpPr>
          <xdr:spPr>
            <a:xfrm>
              <a:off x="4378036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grpSp>
          <xdr:nvGrpSpPr>
            <xdr:cNvPr id="35" name="Group 164">
              <a:extLst>
                <a:ext uri="{FF2B5EF4-FFF2-40B4-BE49-F238E27FC236}">
                  <a16:creationId xmlns:a16="http://schemas.microsoft.com/office/drawing/2014/main" xmlns="" id="{95656753-409A-4E3E-8AB0-41ACBA7FAA3E}"/>
                </a:ext>
              </a:extLst>
            </xdr:cNvPr>
            <xdr:cNvGrpSpPr/>
          </xdr:nvGrpSpPr>
          <xdr:grpSpPr>
            <a:xfrm>
              <a:off x="4446397" y="3077932"/>
              <a:ext cx="1278000" cy="180000"/>
              <a:chOff x="4427624" y="3111567"/>
              <a:chExt cx="1278000" cy="180000"/>
            </a:xfrm>
          </xdr:grpSpPr>
          <xdr:cxnSp macro="">
            <xdr:nvCxnSpPr>
              <xdr:cNvPr id="83" name="Straight Connector 212">
                <a:extLst>
                  <a:ext uri="{FF2B5EF4-FFF2-40B4-BE49-F238E27FC236}">
                    <a16:creationId xmlns:a16="http://schemas.microsoft.com/office/drawing/2014/main" xmlns="" id="{B5CB33BC-DBA7-444E-B0ED-107BA568AED2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4427624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4" name="Straight Connector 213">
                <a:extLst>
                  <a:ext uri="{FF2B5EF4-FFF2-40B4-BE49-F238E27FC236}">
                    <a16:creationId xmlns:a16="http://schemas.microsoft.com/office/drawing/2014/main" xmlns="" id="{9287721C-9A86-4028-951F-6BBFF9A54C20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4607624" y="3111567"/>
                <a:ext cx="109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36" name="Rectangle 165">
              <a:extLst>
                <a:ext uri="{FF2B5EF4-FFF2-40B4-BE49-F238E27FC236}">
                  <a16:creationId xmlns:a16="http://schemas.microsoft.com/office/drawing/2014/main" xmlns="" id="{72AD399A-5816-4DC9-822C-C07DB47905CC}"/>
                </a:ext>
              </a:extLst>
            </xdr:cNvPr>
            <xdr:cNvSpPr/>
          </xdr:nvSpPr>
          <xdr:spPr>
            <a:xfrm>
              <a:off x="1844480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grpSp>
          <xdr:nvGrpSpPr>
            <xdr:cNvPr id="37" name="Group 166">
              <a:extLst>
                <a:ext uri="{FF2B5EF4-FFF2-40B4-BE49-F238E27FC236}">
                  <a16:creationId xmlns:a16="http://schemas.microsoft.com/office/drawing/2014/main" xmlns="" id="{61CBCD89-D7E0-4EC6-A329-C58BE6C51C5B}"/>
                </a:ext>
              </a:extLst>
            </xdr:cNvPr>
            <xdr:cNvGrpSpPr/>
          </xdr:nvGrpSpPr>
          <xdr:grpSpPr>
            <a:xfrm>
              <a:off x="1912841" y="3075216"/>
              <a:ext cx="1278000" cy="180000"/>
              <a:chOff x="4427624" y="3111567"/>
              <a:chExt cx="1278000" cy="180000"/>
            </a:xfrm>
          </xdr:grpSpPr>
          <xdr:cxnSp macro="">
            <xdr:nvCxnSpPr>
              <xdr:cNvPr id="81" name="Straight Connector 210">
                <a:extLst>
                  <a:ext uri="{FF2B5EF4-FFF2-40B4-BE49-F238E27FC236}">
                    <a16:creationId xmlns:a16="http://schemas.microsoft.com/office/drawing/2014/main" xmlns="" id="{A3932201-5942-4D05-AF5A-18D142B7BB15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4427624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2" name="Straight Connector 211">
                <a:extLst>
                  <a:ext uri="{FF2B5EF4-FFF2-40B4-BE49-F238E27FC236}">
                    <a16:creationId xmlns:a16="http://schemas.microsoft.com/office/drawing/2014/main" xmlns="" id="{51054CCF-5E65-44B5-915E-0FC900514104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4607624" y="3111567"/>
                <a:ext cx="109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38" name="Rectangle 167">
              <a:extLst>
                <a:ext uri="{FF2B5EF4-FFF2-40B4-BE49-F238E27FC236}">
                  <a16:creationId xmlns:a16="http://schemas.microsoft.com/office/drawing/2014/main" xmlns="" id="{AAD58362-5986-478D-8A4C-82D130FA3AF8}"/>
                </a:ext>
              </a:extLst>
            </xdr:cNvPr>
            <xdr:cNvSpPr/>
          </xdr:nvSpPr>
          <xdr:spPr>
            <a:xfrm>
              <a:off x="1844480" y="3618212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grpSp>
          <xdr:nvGrpSpPr>
            <xdr:cNvPr id="39" name="Group 168">
              <a:extLst>
                <a:ext uri="{FF2B5EF4-FFF2-40B4-BE49-F238E27FC236}">
                  <a16:creationId xmlns:a16="http://schemas.microsoft.com/office/drawing/2014/main" xmlns="" id="{478E2341-4139-477F-9BDA-97CDCD26FD93}"/>
                </a:ext>
              </a:extLst>
            </xdr:cNvPr>
            <xdr:cNvGrpSpPr/>
          </xdr:nvGrpSpPr>
          <xdr:grpSpPr>
            <a:xfrm>
              <a:off x="1926724" y="3500723"/>
              <a:ext cx="2541840" cy="180000"/>
              <a:chOff x="4435788" y="3111567"/>
              <a:chExt cx="2541840" cy="180000"/>
            </a:xfrm>
          </xdr:grpSpPr>
          <xdr:cxnSp macro="">
            <xdr:nvCxnSpPr>
              <xdr:cNvPr id="79" name="Straight Connector 208">
                <a:extLst>
                  <a:ext uri="{FF2B5EF4-FFF2-40B4-BE49-F238E27FC236}">
                    <a16:creationId xmlns:a16="http://schemas.microsoft.com/office/drawing/2014/main" xmlns="" id="{C3E233EC-0A1F-4D69-A8EB-D9C41D471DFF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4435788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0" name="Straight Connector 209">
                <a:extLst>
                  <a:ext uri="{FF2B5EF4-FFF2-40B4-BE49-F238E27FC236}">
                    <a16:creationId xmlns:a16="http://schemas.microsoft.com/office/drawing/2014/main" xmlns="" id="{CF1CC2B4-53BC-4CA2-930F-6258FCD7C1AE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4607624" y="3111567"/>
                <a:ext cx="2370004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40" name="Straight Connector 169">
              <a:extLst>
                <a:ext uri="{FF2B5EF4-FFF2-40B4-BE49-F238E27FC236}">
                  <a16:creationId xmlns:a16="http://schemas.microsoft.com/office/drawing/2014/main" xmlns="" id="{34649F76-0390-466A-8759-6CB05A8E287B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3196405" y="350072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1" name="Rectangle 170">
              <a:extLst>
                <a:ext uri="{FF2B5EF4-FFF2-40B4-BE49-F238E27FC236}">
                  <a16:creationId xmlns:a16="http://schemas.microsoft.com/office/drawing/2014/main" xmlns="" id="{DAC0B7A5-5B6B-49C2-A8A4-4FB28E7B5864}"/>
                </a:ext>
              </a:extLst>
            </xdr:cNvPr>
            <xdr:cNvSpPr/>
          </xdr:nvSpPr>
          <xdr:spPr>
            <a:xfrm>
              <a:off x="4701880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42" name="Rectangle 171">
              <a:extLst>
                <a:ext uri="{FF2B5EF4-FFF2-40B4-BE49-F238E27FC236}">
                  <a16:creationId xmlns:a16="http://schemas.microsoft.com/office/drawing/2014/main" xmlns="" id="{26BF276A-FA86-4F13-BE23-C5E09B89A81B}"/>
                </a:ext>
              </a:extLst>
            </xdr:cNvPr>
            <xdr:cNvSpPr/>
          </xdr:nvSpPr>
          <xdr:spPr>
            <a:xfrm>
              <a:off x="5969366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43" name="Straight Connector 172">
              <a:extLst>
                <a:ext uri="{FF2B5EF4-FFF2-40B4-BE49-F238E27FC236}">
                  <a16:creationId xmlns:a16="http://schemas.microsoft.com/office/drawing/2014/main" xmlns="" id="{7502DE0A-C0AF-4D77-8265-0D3A753E7307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4792288" y="264350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4" name="Straight Connector 173">
              <a:extLst>
                <a:ext uri="{FF2B5EF4-FFF2-40B4-BE49-F238E27FC236}">
                  <a16:creationId xmlns:a16="http://schemas.microsoft.com/office/drawing/2014/main" xmlns="" id="{E95BFA47-1D80-4D8D-AD98-247E417E0FB1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6029313" y="264350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5" name="Rectangle 174">
              <a:extLst>
                <a:ext uri="{FF2B5EF4-FFF2-40B4-BE49-F238E27FC236}">
                  <a16:creationId xmlns:a16="http://schemas.microsoft.com/office/drawing/2014/main" xmlns="" id="{996F5190-1F75-4F15-B352-9361F89BCBE0}"/>
                </a:ext>
              </a:extLst>
            </xdr:cNvPr>
            <xdr:cNvSpPr/>
          </xdr:nvSpPr>
          <xdr:spPr>
            <a:xfrm>
              <a:off x="2168324" y="2754107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46" name="Rectangle 175">
              <a:extLst>
                <a:ext uri="{FF2B5EF4-FFF2-40B4-BE49-F238E27FC236}">
                  <a16:creationId xmlns:a16="http://schemas.microsoft.com/office/drawing/2014/main" xmlns="" id="{23CF8B2F-A377-4E9B-8D9F-465391A31164}"/>
                </a:ext>
              </a:extLst>
            </xdr:cNvPr>
            <xdr:cNvSpPr/>
          </xdr:nvSpPr>
          <xdr:spPr>
            <a:xfrm>
              <a:off x="3435810" y="2754107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47" name="Straight Connector 176">
              <a:extLst>
                <a:ext uri="{FF2B5EF4-FFF2-40B4-BE49-F238E27FC236}">
                  <a16:creationId xmlns:a16="http://schemas.microsoft.com/office/drawing/2014/main" xmlns="" id="{EE5A13A6-EDCA-4A8A-AF3F-48CE4B7A7382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2258732" y="2648951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" name="Straight Connector 177">
              <a:extLst>
                <a:ext uri="{FF2B5EF4-FFF2-40B4-BE49-F238E27FC236}">
                  <a16:creationId xmlns:a16="http://schemas.microsoft.com/office/drawing/2014/main" xmlns="" id="{CF1CBC79-C197-4A3D-9609-3DF272F2F465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3495757" y="2648951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" name="Straight Connector 178">
              <a:extLst>
                <a:ext uri="{FF2B5EF4-FFF2-40B4-BE49-F238E27FC236}">
                  <a16:creationId xmlns:a16="http://schemas.microsoft.com/office/drawing/2014/main" xmlns="" id="{6400BFE0-2069-4022-8889-7105B9EC6011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2240735" y="3498602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" name="Straight Connector 179">
              <a:extLst>
                <a:ext uri="{FF2B5EF4-FFF2-40B4-BE49-F238E27FC236}">
                  <a16:creationId xmlns:a16="http://schemas.microsoft.com/office/drawing/2014/main" xmlns="" id="{1FE2C2C2-2312-4B9C-A9FC-B3F8CC415A20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3518580" y="3498602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" name="Straight Connector 180">
              <a:extLst>
                <a:ext uri="{FF2B5EF4-FFF2-40B4-BE49-F238E27FC236}">
                  <a16:creationId xmlns:a16="http://schemas.microsoft.com/office/drawing/2014/main" xmlns="" id="{6CCB2B31-CA34-4890-BE26-3B6B916A8EA9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2572743" y="3495886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2" name="Straight Connector 181">
              <a:extLst>
                <a:ext uri="{FF2B5EF4-FFF2-40B4-BE49-F238E27FC236}">
                  <a16:creationId xmlns:a16="http://schemas.microsoft.com/office/drawing/2014/main" xmlns="" id="{88D53E56-BC9C-4478-93EA-78ABB2EB3ED4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3834260" y="3504050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53" name="Rectangle 182">
              <a:extLst>
                <a:ext uri="{FF2B5EF4-FFF2-40B4-BE49-F238E27FC236}">
                  <a16:creationId xmlns:a16="http://schemas.microsoft.com/office/drawing/2014/main" xmlns="" id="{1AA97CAE-3AA3-4266-A080-8E80E7FD61B9}"/>
                </a:ext>
              </a:extLst>
            </xdr:cNvPr>
            <xdr:cNvSpPr/>
          </xdr:nvSpPr>
          <xdr:spPr>
            <a:xfrm>
              <a:off x="2166655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grpSp>
          <xdr:nvGrpSpPr>
            <xdr:cNvPr id="54" name="Group 183">
              <a:extLst>
                <a:ext uri="{FF2B5EF4-FFF2-40B4-BE49-F238E27FC236}">
                  <a16:creationId xmlns:a16="http://schemas.microsoft.com/office/drawing/2014/main" xmlns="" id="{048C434F-B419-450C-BA32-999DB8D93C3D}"/>
                </a:ext>
              </a:extLst>
            </xdr:cNvPr>
            <xdr:cNvGrpSpPr/>
          </xdr:nvGrpSpPr>
          <xdr:grpSpPr>
            <a:xfrm>
              <a:off x="2232571" y="3076195"/>
              <a:ext cx="648000" cy="180000"/>
              <a:chOff x="4427624" y="3111567"/>
              <a:chExt cx="648000" cy="180000"/>
            </a:xfrm>
          </xdr:grpSpPr>
          <xdr:cxnSp macro="">
            <xdr:nvCxnSpPr>
              <xdr:cNvPr id="77" name="Straight Connector 206">
                <a:extLst>
                  <a:ext uri="{FF2B5EF4-FFF2-40B4-BE49-F238E27FC236}">
                    <a16:creationId xmlns:a16="http://schemas.microsoft.com/office/drawing/2014/main" xmlns="" id="{EB93EB74-F52D-43FB-97A8-FC437BF7F49B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4427624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8" name="Straight Connector 207">
                <a:extLst>
                  <a:ext uri="{FF2B5EF4-FFF2-40B4-BE49-F238E27FC236}">
                    <a16:creationId xmlns:a16="http://schemas.microsoft.com/office/drawing/2014/main" xmlns="" id="{3400953A-00B5-491E-9ED3-025B3DF8C599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4607624" y="3111567"/>
                <a:ext cx="46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55" name="Rectangle 184">
              <a:extLst>
                <a:ext uri="{FF2B5EF4-FFF2-40B4-BE49-F238E27FC236}">
                  <a16:creationId xmlns:a16="http://schemas.microsoft.com/office/drawing/2014/main" xmlns="" id="{9EBE1638-85E4-466D-9E02-72561C1D06E8}"/>
                </a:ext>
              </a:extLst>
            </xdr:cNvPr>
            <xdr:cNvSpPr/>
          </xdr:nvSpPr>
          <xdr:spPr>
            <a:xfrm>
              <a:off x="2490499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56" name="Straight Connector 185">
              <a:extLst>
                <a:ext uri="{FF2B5EF4-FFF2-40B4-BE49-F238E27FC236}">
                  <a16:creationId xmlns:a16="http://schemas.microsoft.com/office/drawing/2014/main" xmlns="" id="{3F83F1E6-EDE1-4B26-AFE6-6084418BEC76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2572743" y="308164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" name="Straight Connector 186">
              <a:extLst>
                <a:ext uri="{FF2B5EF4-FFF2-40B4-BE49-F238E27FC236}">
                  <a16:creationId xmlns:a16="http://schemas.microsoft.com/office/drawing/2014/main" xmlns="" id="{E7CE466A-888C-4A9A-8E7A-7D25673EF0FA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2878285" y="350072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58" name="Rectangle 187">
              <a:extLst>
                <a:ext uri="{FF2B5EF4-FFF2-40B4-BE49-F238E27FC236}">
                  <a16:creationId xmlns:a16="http://schemas.microsoft.com/office/drawing/2014/main" xmlns="" id="{4BA5C5A6-467F-4F50-89F5-3BC5DA4829C7}"/>
                </a:ext>
              </a:extLst>
            </xdr:cNvPr>
            <xdr:cNvSpPr/>
          </xdr:nvSpPr>
          <xdr:spPr>
            <a:xfrm>
              <a:off x="2794846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59" name="Straight Connector 188">
              <a:extLst>
                <a:ext uri="{FF2B5EF4-FFF2-40B4-BE49-F238E27FC236}">
                  <a16:creationId xmlns:a16="http://schemas.microsoft.com/office/drawing/2014/main" xmlns="" id="{30A6AA85-108E-44C7-8DB0-EA67744F9CFB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2877090" y="308166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0" name="Rectangle 189">
              <a:extLst>
                <a:ext uri="{FF2B5EF4-FFF2-40B4-BE49-F238E27FC236}">
                  <a16:creationId xmlns:a16="http://schemas.microsoft.com/office/drawing/2014/main" xmlns="" id="{9B613DEC-D7C1-42C7-B71F-6A8B2E8D49F9}"/>
                </a:ext>
              </a:extLst>
            </xdr:cNvPr>
            <xdr:cNvSpPr/>
          </xdr:nvSpPr>
          <xdr:spPr>
            <a:xfrm>
              <a:off x="4693373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61" name="Straight Connector 190">
              <a:extLst>
                <a:ext uri="{FF2B5EF4-FFF2-40B4-BE49-F238E27FC236}">
                  <a16:creationId xmlns:a16="http://schemas.microsoft.com/office/drawing/2014/main" xmlns="" id="{EA3A25A1-6C37-4D39-A6CC-7D45A2E63BF5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4759289" y="3082622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2" name="Rectangle 191">
              <a:extLst>
                <a:ext uri="{FF2B5EF4-FFF2-40B4-BE49-F238E27FC236}">
                  <a16:creationId xmlns:a16="http://schemas.microsoft.com/office/drawing/2014/main" xmlns="" id="{2DC849C1-5B64-47FB-A93B-2897C530AD63}"/>
                </a:ext>
              </a:extLst>
            </xdr:cNvPr>
            <xdr:cNvSpPr/>
          </xdr:nvSpPr>
          <xdr:spPr>
            <a:xfrm>
              <a:off x="5017217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63" name="Straight Connector 192">
              <a:extLst>
                <a:ext uri="{FF2B5EF4-FFF2-40B4-BE49-F238E27FC236}">
                  <a16:creationId xmlns:a16="http://schemas.microsoft.com/office/drawing/2014/main" xmlns="" id="{36F98D62-EEB9-4872-B284-7A0AC644A2D3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5099461" y="3088070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4" name="Rectangle 193">
              <a:extLst>
                <a:ext uri="{FF2B5EF4-FFF2-40B4-BE49-F238E27FC236}">
                  <a16:creationId xmlns:a16="http://schemas.microsoft.com/office/drawing/2014/main" xmlns="" id="{D12A84C5-12F4-4603-9D76-F712A2AEAF72}"/>
                </a:ext>
              </a:extLst>
            </xdr:cNvPr>
            <xdr:cNvSpPr/>
          </xdr:nvSpPr>
          <xdr:spPr>
            <a:xfrm>
              <a:off x="5321564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65" name="Straight Connector 194">
              <a:extLst>
                <a:ext uri="{FF2B5EF4-FFF2-40B4-BE49-F238E27FC236}">
                  <a16:creationId xmlns:a16="http://schemas.microsoft.com/office/drawing/2014/main" xmlns="" id="{82CA1611-907B-4A28-9578-30056789225E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5403808" y="3088090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6" name="TextBox 183">
              <a:extLst>
                <a:ext uri="{FF2B5EF4-FFF2-40B4-BE49-F238E27FC236}">
                  <a16:creationId xmlns:a16="http://schemas.microsoft.com/office/drawing/2014/main" xmlns="" id="{E3D86FC5-AAD7-43E1-8DAD-2D85C6CA1FD9}"/>
                </a:ext>
              </a:extLst>
            </xdr:cNvPr>
            <xdr:cNvSpPr txBox="1"/>
          </xdr:nvSpPr>
          <xdr:spPr>
            <a:xfrm>
              <a:off x="1700636" y="3978381"/>
              <a:ext cx="5544000" cy="276999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wrap="square" lIns="18000" rIns="18000" rtlCol="0">
              <a:spAutoFit/>
            </a:bodyPr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sv-SE" sz="1200">
                  <a:latin typeface="+mn-lt"/>
                </a:rPr>
                <a:t>16:0  15:0  14:0  13:0  12:0 11:0 10:0  9:0   8:0   7:0    6:0   5:0    4:0   3:0    2:0   1:0    0:0</a:t>
              </a:r>
            </a:p>
          </xdr:txBody>
        </xdr:sp>
        <xdr:cxnSp macro="">
          <xdr:nvCxnSpPr>
            <xdr:cNvPr id="67" name="Straight Connector 196">
              <a:extLst>
                <a:ext uri="{FF2B5EF4-FFF2-40B4-BE49-F238E27FC236}">
                  <a16:creationId xmlns:a16="http://schemas.microsoft.com/office/drawing/2014/main" xmlns="" id="{C0A6AB03-50F8-4C40-8C25-1F62693B475E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4158104" y="3509498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8" name="Flowchart: Alternate Process 197">
              <a:extLst>
                <a:ext uri="{FF2B5EF4-FFF2-40B4-BE49-F238E27FC236}">
                  <a16:creationId xmlns:a16="http://schemas.microsoft.com/office/drawing/2014/main" xmlns="" id="{13A3D1DA-DAB4-4E5D-9CFF-B450A975EEF7}"/>
                </a:ext>
              </a:extLst>
            </xdr:cNvPr>
            <xdr:cNvSpPr/>
          </xdr:nvSpPr>
          <xdr:spPr>
            <a:xfrm>
              <a:off x="1700636" y="1608359"/>
              <a:ext cx="5544000" cy="277586"/>
            </a:xfrm>
            <a:prstGeom prst="flowChartAlternateProcess">
              <a:avLst/>
            </a:prstGeom>
            <a:solidFill>
              <a:schemeClr val="bg1"/>
            </a:solidFill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108000" tIns="36000" rIns="18000" bIns="3600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1200">
                  <a:solidFill>
                    <a:schemeClr val="tx1"/>
                  </a:solidFill>
                </a:rPr>
                <a:t>16     15     14    13     12     11    10      9       8       7       6      5       4       3       2       1:0    CIN</a:t>
              </a:r>
            </a:p>
          </xdr:txBody>
        </xdr:sp>
        <xdr:sp macro="" textlink="">
          <xdr:nvSpPr>
            <xdr:cNvPr id="69" name="Rectangle 198">
              <a:extLst>
                <a:ext uri="{FF2B5EF4-FFF2-40B4-BE49-F238E27FC236}">
                  <a16:creationId xmlns:a16="http://schemas.microsoft.com/office/drawing/2014/main" xmlns="" id="{CD491B41-6A0C-4FB1-91AB-85B7B3E4A5BF}"/>
                </a:ext>
              </a:extLst>
            </xdr:cNvPr>
            <xdr:cNvSpPr/>
          </xdr:nvSpPr>
          <xdr:spPr>
            <a:xfrm>
              <a:off x="6283679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70" name="Rectangle 199">
              <a:extLst>
                <a:ext uri="{FF2B5EF4-FFF2-40B4-BE49-F238E27FC236}">
                  <a16:creationId xmlns:a16="http://schemas.microsoft.com/office/drawing/2014/main" xmlns="" id="{BB48126E-C5B6-4989-8B46-BC61B536FB52}"/>
                </a:ext>
              </a:extLst>
            </xdr:cNvPr>
            <xdr:cNvSpPr/>
          </xdr:nvSpPr>
          <xdr:spPr>
            <a:xfrm>
              <a:off x="3120130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71" name="Rectangle 200">
              <a:extLst>
                <a:ext uri="{FF2B5EF4-FFF2-40B4-BE49-F238E27FC236}">
                  <a16:creationId xmlns:a16="http://schemas.microsoft.com/office/drawing/2014/main" xmlns="" id="{558656BB-2F00-4BF9-9A50-83C915439411}"/>
                </a:ext>
              </a:extLst>
            </xdr:cNvPr>
            <xdr:cNvSpPr/>
          </xdr:nvSpPr>
          <xdr:spPr>
            <a:xfrm>
              <a:off x="2158491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72" name="Rectangle 201">
              <a:extLst>
                <a:ext uri="{FF2B5EF4-FFF2-40B4-BE49-F238E27FC236}">
                  <a16:creationId xmlns:a16="http://schemas.microsoft.com/office/drawing/2014/main" xmlns="" id="{A413EF69-634F-494C-A3C3-A9667FA7C484}"/>
                </a:ext>
              </a:extLst>
            </xdr:cNvPr>
            <xdr:cNvSpPr/>
          </xdr:nvSpPr>
          <xdr:spPr>
            <a:xfrm>
              <a:off x="3434141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73" name="Rectangle 202">
              <a:extLst>
                <a:ext uri="{FF2B5EF4-FFF2-40B4-BE49-F238E27FC236}">
                  <a16:creationId xmlns:a16="http://schemas.microsoft.com/office/drawing/2014/main" xmlns="" id="{39A88037-8807-45C0-A464-98D25DEBA612}"/>
                </a:ext>
              </a:extLst>
            </xdr:cNvPr>
            <xdr:cNvSpPr/>
          </xdr:nvSpPr>
          <xdr:spPr>
            <a:xfrm>
              <a:off x="2482335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74" name="Rectangle 203">
              <a:extLst>
                <a:ext uri="{FF2B5EF4-FFF2-40B4-BE49-F238E27FC236}">
                  <a16:creationId xmlns:a16="http://schemas.microsoft.com/office/drawing/2014/main" xmlns="" id="{07300B07-1455-4B4D-9294-34692BB9CE06}"/>
                </a:ext>
              </a:extLst>
            </xdr:cNvPr>
            <xdr:cNvSpPr/>
          </xdr:nvSpPr>
          <xdr:spPr>
            <a:xfrm>
              <a:off x="3749821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75" name="Rectangle 204">
              <a:extLst>
                <a:ext uri="{FF2B5EF4-FFF2-40B4-BE49-F238E27FC236}">
                  <a16:creationId xmlns:a16="http://schemas.microsoft.com/office/drawing/2014/main" xmlns="" id="{47A890A9-5526-4A6E-A5D3-8DD3E12465CE}"/>
                </a:ext>
              </a:extLst>
            </xdr:cNvPr>
            <xdr:cNvSpPr/>
          </xdr:nvSpPr>
          <xdr:spPr>
            <a:xfrm>
              <a:off x="2804205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76" name="Rectangle 205">
              <a:extLst>
                <a:ext uri="{FF2B5EF4-FFF2-40B4-BE49-F238E27FC236}">
                  <a16:creationId xmlns:a16="http://schemas.microsoft.com/office/drawing/2014/main" xmlns="" id="{7A3F31BE-8910-43B3-8198-E8574321CF69}"/>
                </a:ext>
              </a:extLst>
            </xdr:cNvPr>
            <xdr:cNvSpPr/>
          </xdr:nvSpPr>
          <xdr:spPr>
            <a:xfrm>
              <a:off x="4073665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</xdr:grpSp>
    </xdr:grpSp>
    <xdr:clientData/>
  </xdr:twoCellAnchor>
  <xdr:twoCellAnchor>
    <xdr:from>
      <xdr:col>18</xdr:col>
      <xdr:colOff>180976</xdr:colOff>
      <xdr:row>6</xdr:row>
      <xdr:rowOff>28575</xdr:rowOff>
    </xdr:from>
    <xdr:to>
      <xdr:col>21</xdr:col>
      <xdr:colOff>142876</xdr:colOff>
      <xdr:row>8</xdr:row>
      <xdr:rowOff>161925</xdr:rowOff>
    </xdr:to>
    <xdr:sp macro="" textlink="">
      <xdr:nvSpPr>
        <xdr:cNvPr id="124" name="Pil: vänster 123">
          <a:extLst>
            <a:ext uri="{FF2B5EF4-FFF2-40B4-BE49-F238E27FC236}">
              <a16:creationId xmlns:a16="http://schemas.microsoft.com/office/drawing/2014/main" xmlns="" id="{9BD0B496-3A6F-43B8-ABCC-2268AC9D8B4A}"/>
            </a:ext>
          </a:extLst>
        </xdr:cNvPr>
        <xdr:cNvSpPr/>
      </xdr:nvSpPr>
      <xdr:spPr>
        <a:xfrm>
          <a:off x="7038976" y="1638300"/>
          <a:ext cx="1104900" cy="5334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/>
            <a:t>INPUT DATA</a:t>
          </a:r>
        </a:p>
      </xdr:txBody>
    </xdr:sp>
    <xdr:clientData/>
  </xdr:twoCellAnchor>
  <xdr:twoCellAnchor>
    <xdr:from>
      <xdr:col>18</xdr:col>
      <xdr:colOff>180976</xdr:colOff>
      <xdr:row>9</xdr:row>
      <xdr:rowOff>114300</xdr:rowOff>
    </xdr:from>
    <xdr:to>
      <xdr:col>21</xdr:col>
      <xdr:colOff>304800</xdr:colOff>
      <xdr:row>12</xdr:row>
      <xdr:rowOff>47625</xdr:rowOff>
    </xdr:to>
    <xdr:sp macro="" textlink="">
      <xdr:nvSpPr>
        <xdr:cNvPr id="125" name="Pil: vänster 124">
          <a:extLst>
            <a:ext uri="{FF2B5EF4-FFF2-40B4-BE49-F238E27FC236}">
              <a16:creationId xmlns:a16="http://schemas.microsoft.com/office/drawing/2014/main" xmlns="" id="{B7EB68F9-167B-4A67-AF8A-9420E847A11D}"/>
            </a:ext>
          </a:extLst>
        </xdr:cNvPr>
        <xdr:cNvSpPr/>
      </xdr:nvSpPr>
      <xdr:spPr>
        <a:xfrm>
          <a:off x="7038976" y="2324100"/>
          <a:ext cx="1266824" cy="5334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/>
            <a:t>PG</a:t>
          </a:r>
          <a:r>
            <a:rPr lang="sv-SE" sz="1100" baseline="0"/>
            <a:t> SETUP LOGIC</a:t>
          </a:r>
        </a:p>
        <a:p>
          <a:pPr algn="l"/>
          <a:endParaRPr lang="sv-SE" sz="1100"/>
        </a:p>
      </xdr:txBody>
    </xdr:sp>
    <xdr:clientData/>
  </xdr:twoCellAnchor>
  <xdr:twoCellAnchor>
    <xdr:from>
      <xdr:col>18</xdr:col>
      <xdr:colOff>180976</xdr:colOff>
      <xdr:row>15</xdr:row>
      <xdr:rowOff>66675</xdr:rowOff>
    </xdr:from>
    <xdr:to>
      <xdr:col>21</xdr:col>
      <xdr:colOff>304800</xdr:colOff>
      <xdr:row>18</xdr:row>
      <xdr:rowOff>0</xdr:rowOff>
    </xdr:to>
    <xdr:sp macro="" textlink="">
      <xdr:nvSpPr>
        <xdr:cNvPr id="126" name="Pil: vänster 125">
          <a:extLst>
            <a:ext uri="{FF2B5EF4-FFF2-40B4-BE49-F238E27FC236}">
              <a16:creationId xmlns:a16="http://schemas.microsoft.com/office/drawing/2014/main" xmlns="" id="{2F911F11-BECC-4E78-9365-D6E36CE7C92A}"/>
            </a:ext>
          </a:extLst>
        </xdr:cNvPr>
        <xdr:cNvSpPr/>
      </xdr:nvSpPr>
      <xdr:spPr>
        <a:xfrm>
          <a:off x="7038976" y="3476625"/>
          <a:ext cx="1266824" cy="5334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 baseline="0"/>
            <a:t>SUM XOR LOGIC</a:t>
          </a:r>
        </a:p>
        <a:p>
          <a:pPr algn="l"/>
          <a:endParaRPr lang="sv-SE" sz="1100"/>
        </a:p>
      </xdr:txBody>
    </xdr:sp>
    <xdr:clientData/>
  </xdr:twoCellAnchor>
  <xdr:twoCellAnchor>
    <xdr:from>
      <xdr:col>22</xdr:col>
      <xdr:colOff>371475</xdr:colOff>
      <xdr:row>12</xdr:row>
      <xdr:rowOff>0</xdr:rowOff>
    </xdr:from>
    <xdr:to>
      <xdr:col>22</xdr:col>
      <xdr:colOff>371475</xdr:colOff>
      <xdr:row>14</xdr:row>
      <xdr:rowOff>190500</xdr:rowOff>
    </xdr:to>
    <xdr:cxnSp macro="">
      <xdr:nvCxnSpPr>
        <xdr:cNvPr id="127" name="Straight Connector 200">
          <a:extLst>
            <a:ext uri="{FF2B5EF4-FFF2-40B4-BE49-F238E27FC236}">
              <a16:creationId xmlns:a16="http://schemas.microsoft.com/office/drawing/2014/main" xmlns="" id="{5F88B5F3-68F0-4140-B437-3E73142DC2E7}"/>
            </a:ext>
          </a:extLst>
        </xdr:cNvPr>
        <xdr:cNvCxnSpPr/>
      </xdr:nvCxnSpPr>
      <xdr:spPr>
        <a:xfrm flipH="1">
          <a:off x="8753475" y="2809875"/>
          <a:ext cx="0" cy="590550"/>
        </a:xfrm>
        <a:prstGeom prst="line">
          <a:avLst/>
        </a:prstGeom>
        <a:ln w="19050">
          <a:solidFill>
            <a:srgbClr val="0070C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323850</xdr:colOff>
      <xdr:row>1</xdr:row>
      <xdr:rowOff>142875</xdr:rowOff>
    </xdr:from>
    <xdr:to>
      <xdr:col>52</xdr:col>
      <xdr:colOff>376246</xdr:colOff>
      <xdr:row>17</xdr:row>
      <xdr:rowOff>68410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GrpSpPr/>
      </xdr:nvGrpSpPr>
      <xdr:grpSpPr>
        <a:xfrm>
          <a:off x="16478250" y="371475"/>
          <a:ext cx="6529396" cy="3176735"/>
          <a:chOff x="1605782" y="1510387"/>
          <a:chExt cx="5767396" cy="3125935"/>
        </a:xfrm>
      </xdr:grpSpPr>
      <xdr:sp macro="" textlink="">
        <xdr:nvSpPr>
          <xdr:cNvPr id="9" name="Rounded Rectangle 8">
            <a:extLst>
              <a:ext uri="{FF2B5EF4-FFF2-40B4-BE49-F238E27FC236}">
                <a16:creationId xmlns:a16="http://schemas.microsoft.com/office/drawing/2014/main" xmlns="" id="{00000000-0008-0000-0900-000009000000}"/>
              </a:ext>
            </a:extLst>
          </xdr:cNvPr>
          <xdr:cNvSpPr/>
        </xdr:nvSpPr>
        <xdr:spPr>
          <a:xfrm>
            <a:off x="1605782" y="1510387"/>
            <a:ext cx="5767396" cy="3004463"/>
          </a:xfrm>
          <a:prstGeom prst="round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sv-SE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sv-SE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xmlns="" id="{00000000-0008-0000-09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29746" y="4257145"/>
            <a:ext cx="4619625" cy="37917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1" name="Group 10">
            <a:extLst>
              <a:ext uri="{FF2B5EF4-FFF2-40B4-BE49-F238E27FC236}">
                <a16:creationId xmlns:a16="http://schemas.microsoft.com/office/drawing/2014/main" xmlns="" id="{00000000-0008-0000-0900-00000B000000}"/>
              </a:ext>
            </a:extLst>
          </xdr:cNvPr>
          <xdr:cNvGrpSpPr/>
        </xdr:nvGrpSpPr>
        <xdr:grpSpPr>
          <a:xfrm>
            <a:off x="1700636" y="1608359"/>
            <a:ext cx="5544000" cy="2647021"/>
            <a:chOff x="1700636" y="1608359"/>
            <a:chExt cx="5544000" cy="2647021"/>
          </a:xfrm>
        </xdr:grpSpPr>
        <xdr:cxnSp macro="">
          <xdr:nvCxnSpPr>
            <xdr:cNvPr id="12" name="Straight Connector 11">
              <a:extLst>
                <a:ext uri="{FF2B5EF4-FFF2-40B4-BE49-F238E27FC236}">
                  <a16:creationId xmlns:a16="http://schemas.microsoft.com/office/drawing/2014/main" xmlns="" id="{00000000-0008-0000-0900-00000C000000}"/>
                </a:ext>
              </a:extLst>
            </xdr:cNvPr>
            <xdr:cNvCxnSpPr/>
          </xdr:nvCxnSpPr>
          <xdr:spPr>
            <a:xfrm>
              <a:off x="1926771" y="1885946"/>
              <a:ext cx="0" cy="216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13" name="Group 12">
              <a:extLst>
                <a:ext uri="{FF2B5EF4-FFF2-40B4-BE49-F238E27FC236}">
                  <a16:creationId xmlns:a16="http://schemas.microsoft.com/office/drawing/2014/main" xmlns="" id="{00000000-0008-0000-0900-00000D000000}"/>
                </a:ext>
              </a:extLst>
            </xdr:cNvPr>
            <xdr:cNvGrpSpPr/>
          </xdr:nvGrpSpPr>
          <xdr:grpSpPr>
            <a:xfrm>
              <a:off x="2242451" y="1885946"/>
              <a:ext cx="3801949" cy="2160000"/>
              <a:chOff x="2242451" y="1885946"/>
              <a:chExt cx="3801949" cy="2105129"/>
            </a:xfrm>
          </xdr:grpSpPr>
          <xdr:cxnSp macro="">
            <xdr:nvCxnSpPr>
              <xdr:cNvPr id="129" name="Straight Connector 128">
                <a:extLst>
                  <a:ext uri="{FF2B5EF4-FFF2-40B4-BE49-F238E27FC236}">
                    <a16:creationId xmlns:a16="http://schemas.microsoft.com/office/drawing/2014/main" xmlns="" id="{00000000-0008-0000-0900-000081000000}"/>
                  </a:ext>
                </a:extLst>
              </xdr:cNvPr>
              <xdr:cNvCxnSpPr/>
            </xdr:nvCxnSpPr>
            <xdr:spPr>
              <a:xfrm>
                <a:off x="2242451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0" name="Straight Connector 129">
                <a:extLst>
                  <a:ext uri="{FF2B5EF4-FFF2-40B4-BE49-F238E27FC236}">
                    <a16:creationId xmlns:a16="http://schemas.microsoft.com/office/drawing/2014/main" xmlns="" id="{00000000-0008-0000-0900-000082000000}"/>
                  </a:ext>
                </a:extLst>
              </xdr:cNvPr>
              <xdr:cNvCxnSpPr/>
            </xdr:nvCxnSpPr>
            <xdr:spPr>
              <a:xfrm>
                <a:off x="28764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1" name="Straight Connector 130">
                <a:extLst>
                  <a:ext uri="{FF2B5EF4-FFF2-40B4-BE49-F238E27FC236}">
                    <a16:creationId xmlns:a16="http://schemas.microsoft.com/office/drawing/2014/main" xmlns="" id="{00000000-0008-0000-0900-000083000000}"/>
                  </a:ext>
                </a:extLst>
              </xdr:cNvPr>
              <xdr:cNvCxnSpPr/>
            </xdr:nvCxnSpPr>
            <xdr:spPr>
              <a:xfrm>
                <a:off x="35100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2" name="Straight Connector 131">
                <a:extLst>
                  <a:ext uri="{FF2B5EF4-FFF2-40B4-BE49-F238E27FC236}">
                    <a16:creationId xmlns:a16="http://schemas.microsoft.com/office/drawing/2014/main" xmlns="" id="{00000000-0008-0000-0900-000084000000}"/>
                  </a:ext>
                </a:extLst>
              </xdr:cNvPr>
              <xdr:cNvCxnSpPr/>
            </xdr:nvCxnSpPr>
            <xdr:spPr>
              <a:xfrm>
                <a:off x="41436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3" name="Straight Connector 132">
                <a:extLst>
                  <a:ext uri="{FF2B5EF4-FFF2-40B4-BE49-F238E27FC236}">
                    <a16:creationId xmlns:a16="http://schemas.microsoft.com/office/drawing/2014/main" xmlns="" id="{00000000-0008-0000-0900-000085000000}"/>
                  </a:ext>
                </a:extLst>
              </xdr:cNvPr>
              <xdr:cNvCxnSpPr/>
            </xdr:nvCxnSpPr>
            <xdr:spPr>
              <a:xfrm>
                <a:off x="47772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4" name="Straight Connector 133">
                <a:extLst>
                  <a:ext uri="{FF2B5EF4-FFF2-40B4-BE49-F238E27FC236}">
                    <a16:creationId xmlns:a16="http://schemas.microsoft.com/office/drawing/2014/main" xmlns="" id="{00000000-0008-0000-0900-000086000000}"/>
                  </a:ext>
                </a:extLst>
              </xdr:cNvPr>
              <xdr:cNvCxnSpPr/>
            </xdr:nvCxnSpPr>
            <xdr:spPr>
              <a:xfrm>
                <a:off x="54108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5" name="Straight Connector 134">
                <a:extLst>
                  <a:ext uri="{FF2B5EF4-FFF2-40B4-BE49-F238E27FC236}">
                    <a16:creationId xmlns:a16="http://schemas.microsoft.com/office/drawing/2014/main" xmlns="" id="{00000000-0008-0000-0900-000087000000}"/>
                  </a:ext>
                </a:extLst>
              </xdr:cNvPr>
              <xdr:cNvCxnSpPr/>
            </xdr:nvCxnSpPr>
            <xdr:spPr>
              <a:xfrm>
                <a:off x="6044400" y="1885946"/>
                <a:ext cx="0" cy="210512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xmlns="" id="{00000000-0008-0000-0900-000014000000}"/>
                </a:ext>
              </a:extLst>
            </xdr:cNvPr>
            <xdr:cNvGrpSpPr/>
          </xdr:nvGrpSpPr>
          <xdr:grpSpPr>
            <a:xfrm>
              <a:off x="2559600" y="1885946"/>
              <a:ext cx="3801600" cy="2160000"/>
              <a:chOff x="2559600" y="1885946"/>
              <a:chExt cx="3801600" cy="801093"/>
            </a:xfrm>
          </xdr:grpSpPr>
          <xdr:cxnSp macro="">
            <xdr:nvCxnSpPr>
              <xdr:cNvPr id="125" name="Straight Connector 124">
                <a:extLst>
                  <a:ext uri="{FF2B5EF4-FFF2-40B4-BE49-F238E27FC236}">
                    <a16:creationId xmlns:a16="http://schemas.microsoft.com/office/drawing/2014/main" xmlns="" id="{00000000-0008-0000-0900-00007D000000}"/>
                  </a:ext>
                </a:extLst>
              </xdr:cNvPr>
              <xdr:cNvCxnSpPr/>
            </xdr:nvCxnSpPr>
            <xdr:spPr>
              <a:xfrm>
                <a:off x="2559600" y="1885946"/>
                <a:ext cx="0" cy="801093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6" name="Straight Connector 125">
                <a:extLst>
                  <a:ext uri="{FF2B5EF4-FFF2-40B4-BE49-F238E27FC236}">
                    <a16:creationId xmlns:a16="http://schemas.microsoft.com/office/drawing/2014/main" xmlns="" id="{00000000-0008-0000-0900-00007E000000}"/>
                  </a:ext>
                </a:extLst>
              </xdr:cNvPr>
              <xdr:cNvCxnSpPr/>
            </xdr:nvCxnSpPr>
            <xdr:spPr>
              <a:xfrm>
                <a:off x="3826800" y="1885946"/>
                <a:ext cx="0" cy="801093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7" name="Straight Connector 126">
                <a:extLst>
                  <a:ext uri="{FF2B5EF4-FFF2-40B4-BE49-F238E27FC236}">
                    <a16:creationId xmlns:a16="http://schemas.microsoft.com/office/drawing/2014/main" xmlns="" id="{00000000-0008-0000-0900-00007F000000}"/>
                  </a:ext>
                </a:extLst>
              </xdr:cNvPr>
              <xdr:cNvCxnSpPr/>
            </xdr:nvCxnSpPr>
            <xdr:spPr>
              <a:xfrm>
                <a:off x="5094000" y="1885946"/>
                <a:ext cx="0" cy="801093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8" name="Straight Connector 127">
                <a:extLst>
                  <a:ext uri="{FF2B5EF4-FFF2-40B4-BE49-F238E27FC236}">
                    <a16:creationId xmlns:a16="http://schemas.microsoft.com/office/drawing/2014/main" xmlns="" id="{00000000-0008-0000-0900-000080000000}"/>
                  </a:ext>
                </a:extLst>
              </xdr:cNvPr>
              <xdr:cNvCxnSpPr/>
            </xdr:nvCxnSpPr>
            <xdr:spPr>
              <a:xfrm>
                <a:off x="6361200" y="1885946"/>
                <a:ext cx="0" cy="801093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21" name="Straight Connector 20">
              <a:extLst>
                <a:ext uri="{FF2B5EF4-FFF2-40B4-BE49-F238E27FC236}">
                  <a16:creationId xmlns:a16="http://schemas.microsoft.com/office/drawing/2014/main" xmlns="" id="{00000000-0008-0000-0900-000015000000}"/>
                </a:ext>
              </a:extLst>
            </xdr:cNvPr>
            <xdr:cNvCxnSpPr/>
          </xdr:nvCxnSpPr>
          <xdr:spPr>
            <a:xfrm>
              <a:off x="6678000" y="1885946"/>
              <a:ext cx="0" cy="216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22" name="Group 21">
              <a:extLst>
                <a:ext uri="{FF2B5EF4-FFF2-40B4-BE49-F238E27FC236}">
                  <a16:creationId xmlns:a16="http://schemas.microsoft.com/office/drawing/2014/main" xmlns="" id="{00000000-0008-0000-0900-000016000000}"/>
                </a:ext>
              </a:extLst>
            </xdr:cNvPr>
            <xdr:cNvGrpSpPr/>
          </xdr:nvGrpSpPr>
          <xdr:grpSpPr>
            <a:xfrm>
              <a:off x="3192028" y="1885945"/>
              <a:ext cx="3802772" cy="2190658"/>
              <a:chOff x="3192028" y="1908679"/>
              <a:chExt cx="3802772" cy="2165749"/>
            </a:xfrm>
          </xdr:grpSpPr>
          <xdr:cxnSp macro="">
            <xdr:nvCxnSpPr>
              <xdr:cNvPr id="121" name="Straight Connector 120">
                <a:extLst>
                  <a:ext uri="{FF2B5EF4-FFF2-40B4-BE49-F238E27FC236}">
                    <a16:creationId xmlns:a16="http://schemas.microsoft.com/office/drawing/2014/main" xmlns="" id="{00000000-0008-0000-0900-000079000000}"/>
                  </a:ext>
                </a:extLst>
              </xdr:cNvPr>
              <xdr:cNvCxnSpPr/>
            </xdr:nvCxnSpPr>
            <xdr:spPr>
              <a:xfrm>
                <a:off x="3192028" y="1908679"/>
                <a:ext cx="0" cy="213544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2" name="Straight Connector 121">
                <a:extLst>
                  <a:ext uri="{FF2B5EF4-FFF2-40B4-BE49-F238E27FC236}">
                    <a16:creationId xmlns:a16="http://schemas.microsoft.com/office/drawing/2014/main" xmlns="" id="{00000000-0008-0000-0900-00007A000000}"/>
                  </a:ext>
                </a:extLst>
              </xdr:cNvPr>
              <xdr:cNvCxnSpPr/>
            </xdr:nvCxnSpPr>
            <xdr:spPr>
              <a:xfrm>
                <a:off x="4460400" y="1938989"/>
                <a:ext cx="0" cy="213543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3" name="Straight Connector 122">
                <a:extLst>
                  <a:ext uri="{FF2B5EF4-FFF2-40B4-BE49-F238E27FC236}">
                    <a16:creationId xmlns:a16="http://schemas.microsoft.com/office/drawing/2014/main" xmlns="" id="{00000000-0008-0000-0900-00007B000000}"/>
                  </a:ext>
                </a:extLst>
              </xdr:cNvPr>
              <xdr:cNvCxnSpPr/>
            </xdr:nvCxnSpPr>
            <xdr:spPr>
              <a:xfrm>
                <a:off x="5727600" y="1923834"/>
                <a:ext cx="0" cy="213543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4" name="Straight Connector 123">
                <a:extLst>
                  <a:ext uri="{FF2B5EF4-FFF2-40B4-BE49-F238E27FC236}">
                    <a16:creationId xmlns:a16="http://schemas.microsoft.com/office/drawing/2014/main" xmlns="" id="{00000000-0008-0000-0900-00007C000000}"/>
                  </a:ext>
                </a:extLst>
              </xdr:cNvPr>
              <xdr:cNvCxnSpPr/>
            </xdr:nvCxnSpPr>
            <xdr:spPr>
              <a:xfrm>
                <a:off x="6994800" y="1916257"/>
                <a:ext cx="0" cy="2135439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3" name="Rectangle 22">
              <a:extLst>
                <a:ext uri="{FF2B5EF4-FFF2-40B4-BE49-F238E27FC236}">
                  <a16:creationId xmlns:a16="http://schemas.microsoft.com/office/drawing/2014/main" xmlns="" id="{00000000-0008-0000-0900-000017000000}"/>
                </a:ext>
              </a:extLst>
            </xdr:cNvPr>
            <xdr:cNvSpPr/>
          </xdr:nvSpPr>
          <xdr:spPr>
            <a:xfrm>
              <a:off x="1845129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24" name="Rectangle 23">
              <a:extLst>
                <a:ext uri="{FF2B5EF4-FFF2-40B4-BE49-F238E27FC236}">
                  <a16:creationId xmlns:a16="http://schemas.microsoft.com/office/drawing/2014/main" xmlns="" id="{00000000-0008-0000-0900-000018000000}"/>
                </a:ext>
              </a:extLst>
            </xdr:cNvPr>
            <xdr:cNvSpPr/>
          </xdr:nvSpPr>
          <xdr:spPr>
            <a:xfrm>
              <a:off x="2483286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25" name="Rectangle 24">
              <a:extLst>
                <a:ext uri="{FF2B5EF4-FFF2-40B4-BE49-F238E27FC236}">
                  <a16:creationId xmlns:a16="http://schemas.microsoft.com/office/drawing/2014/main" xmlns="" id="{00000000-0008-0000-0900-000019000000}"/>
                </a:ext>
              </a:extLst>
            </xdr:cNvPr>
            <xdr:cNvSpPr/>
          </xdr:nvSpPr>
          <xdr:spPr>
            <a:xfrm>
              <a:off x="3111914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xmlns="" id="{00000000-0008-0000-0900-00001A000000}"/>
                </a:ext>
              </a:extLst>
            </xdr:cNvPr>
            <xdr:cNvSpPr/>
          </xdr:nvSpPr>
          <xdr:spPr>
            <a:xfrm>
              <a:off x="3750071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27" name="Rectangle 26">
              <a:extLst>
                <a:ext uri="{FF2B5EF4-FFF2-40B4-BE49-F238E27FC236}">
                  <a16:creationId xmlns:a16="http://schemas.microsoft.com/office/drawing/2014/main" xmlns="" id="{00000000-0008-0000-0900-00001B000000}"/>
                </a:ext>
              </a:extLst>
            </xdr:cNvPr>
            <xdr:cNvSpPr/>
          </xdr:nvSpPr>
          <xdr:spPr>
            <a:xfrm>
              <a:off x="4378036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28" name="Rectangle 27">
              <a:extLst>
                <a:ext uri="{FF2B5EF4-FFF2-40B4-BE49-F238E27FC236}">
                  <a16:creationId xmlns:a16="http://schemas.microsoft.com/office/drawing/2014/main" xmlns="" id="{00000000-0008-0000-0900-00001C000000}"/>
                </a:ext>
              </a:extLst>
            </xdr:cNvPr>
            <xdr:cNvSpPr/>
          </xdr:nvSpPr>
          <xdr:spPr>
            <a:xfrm>
              <a:off x="5016894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29" name="Rectangle 28">
              <a:extLst>
                <a:ext uri="{FF2B5EF4-FFF2-40B4-BE49-F238E27FC236}">
                  <a16:creationId xmlns:a16="http://schemas.microsoft.com/office/drawing/2014/main" xmlns="" id="{00000000-0008-0000-0900-00001D000000}"/>
                </a:ext>
              </a:extLst>
            </xdr:cNvPr>
            <xdr:cNvSpPr/>
          </xdr:nvSpPr>
          <xdr:spPr>
            <a:xfrm>
              <a:off x="5653686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30" name="Rectangle 29">
              <a:extLst>
                <a:ext uri="{FF2B5EF4-FFF2-40B4-BE49-F238E27FC236}">
                  <a16:creationId xmlns:a16="http://schemas.microsoft.com/office/drawing/2014/main" xmlns="" id="{00000000-0008-0000-0900-00001E000000}"/>
                </a:ext>
              </a:extLst>
            </xdr:cNvPr>
            <xdr:cNvSpPr/>
          </xdr:nvSpPr>
          <xdr:spPr>
            <a:xfrm>
              <a:off x="1851890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31" name="Rectangle 30">
              <a:extLst>
                <a:ext uri="{FF2B5EF4-FFF2-40B4-BE49-F238E27FC236}">
                  <a16:creationId xmlns:a16="http://schemas.microsoft.com/office/drawing/2014/main" xmlns="" id="{00000000-0008-0000-0900-00001F000000}"/>
                </a:ext>
              </a:extLst>
            </xdr:cNvPr>
            <xdr:cNvSpPr/>
          </xdr:nvSpPr>
          <xdr:spPr>
            <a:xfrm>
              <a:off x="3118675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32" name="Rectangle 31">
              <a:extLst>
                <a:ext uri="{FF2B5EF4-FFF2-40B4-BE49-F238E27FC236}">
                  <a16:creationId xmlns:a16="http://schemas.microsoft.com/office/drawing/2014/main" xmlns="" id="{00000000-0008-0000-0900-000020000000}"/>
                </a:ext>
              </a:extLst>
            </xdr:cNvPr>
            <xdr:cNvSpPr/>
          </xdr:nvSpPr>
          <xdr:spPr>
            <a:xfrm>
              <a:off x="4378036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33" name="Rectangle 32">
              <a:extLst>
                <a:ext uri="{FF2B5EF4-FFF2-40B4-BE49-F238E27FC236}">
                  <a16:creationId xmlns:a16="http://schemas.microsoft.com/office/drawing/2014/main" xmlns="" id="{00000000-0008-0000-0900-000021000000}"/>
                </a:ext>
              </a:extLst>
            </xdr:cNvPr>
            <xdr:cNvSpPr/>
          </xdr:nvSpPr>
          <xdr:spPr>
            <a:xfrm>
              <a:off x="5653686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grpSp>
          <xdr:nvGrpSpPr>
            <xdr:cNvPr id="34" name="Group 33">
              <a:extLst>
                <a:ext uri="{FF2B5EF4-FFF2-40B4-BE49-F238E27FC236}">
                  <a16:creationId xmlns:a16="http://schemas.microsoft.com/office/drawing/2014/main" xmlns="" id="{00000000-0008-0000-0900-000022000000}"/>
                </a:ext>
              </a:extLst>
            </xdr:cNvPr>
            <xdr:cNvGrpSpPr/>
          </xdr:nvGrpSpPr>
          <xdr:grpSpPr>
            <a:xfrm>
              <a:off x="1918414" y="2220506"/>
              <a:ext cx="324000" cy="180000"/>
              <a:chOff x="1910250" y="2645034"/>
              <a:chExt cx="324000" cy="180000"/>
            </a:xfrm>
          </xdr:grpSpPr>
          <xdr:cxnSp macro="">
            <xdr:nvCxnSpPr>
              <xdr:cNvPr id="119" name="Straight Connector 118">
                <a:extLst>
                  <a:ext uri="{FF2B5EF4-FFF2-40B4-BE49-F238E27FC236}">
                    <a16:creationId xmlns:a16="http://schemas.microsoft.com/office/drawing/2014/main" xmlns="" id="{00000000-0008-0000-0900-000077000000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1910250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0" name="Straight Connector 119">
                <a:extLst>
                  <a:ext uri="{FF2B5EF4-FFF2-40B4-BE49-F238E27FC236}">
                    <a16:creationId xmlns:a16="http://schemas.microsoft.com/office/drawing/2014/main" xmlns="" id="{00000000-0008-0000-0900-000078000000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2090250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5" name="Group 34">
              <a:extLst>
                <a:ext uri="{FF2B5EF4-FFF2-40B4-BE49-F238E27FC236}">
                  <a16:creationId xmlns:a16="http://schemas.microsoft.com/office/drawing/2014/main" xmlns="" id="{00000000-0008-0000-0900-000023000000}"/>
                </a:ext>
              </a:extLst>
            </xdr:cNvPr>
            <xdr:cNvGrpSpPr/>
          </xdr:nvGrpSpPr>
          <xdr:grpSpPr>
            <a:xfrm>
              <a:off x="2548407" y="2220506"/>
              <a:ext cx="324000" cy="180000"/>
              <a:chOff x="2540243" y="2645034"/>
              <a:chExt cx="324000" cy="180000"/>
            </a:xfrm>
          </xdr:grpSpPr>
          <xdr:cxnSp macro="">
            <xdr:nvCxnSpPr>
              <xdr:cNvPr id="117" name="Straight Connector 116">
                <a:extLst>
                  <a:ext uri="{FF2B5EF4-FFF2-40B4-BE49-F238E27FC236}">
                    <a16:creationId xmlns:a16="http://schemas.microsoft.com/office/drawing/2014/main" xmlns="" id="{00000000-0008-0000-0900-000075000000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2540243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8" name="Straight Connector 117">
                <a:extLst>
                  <a:ext uri="{FF2B5EF4-FFF2-40B4-BE49-F238E27FC236}">
                    <a16:creationId xmlns:a16="http://schemas.microsoft.com/office/drawing/2014/main" xmlns="" id="{00000000-0008-0000-0900-000076000000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2720243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6" name="Group 35">
              <a:extLst>
                <a:ext uri="{FF2B5EF4-FFF2-40B4-BE49-F238E27FC236}">
                  <a16:creationId xmlns:a16="http://schemas.microsoft.com/office/drawing/2014/main" xmlns="" id="{00000000-0008-0000-0900-000024000000}"/>
                </a:ext>
              </a:extLst>
            </xdr:cNvPr>
            <xdr:cNvGrpSpPr/>
          </xdr:nvGrpSpPr>
          <xdr:grpSpPr>
            <a:xfrm>
              <a:off x="3171767" y="2220506"/>
              <a:ext cx="324000" cy="180000"/>
              <a:chOff x="3171767" y="2645034"/>
              <a:chExt cx="324000" cy="180000"/>
            </a:xfrm>
          </xdr:grpSpPr>
          <xdr:cxnSp macro="">
            <xdr:nvCxnSpPr>
              <xdr:cNvPr id="115" name="Straight Connector 114">
                <a:extLst>
                  <a:ext uri="{FF2B5EF4-FFF2-40B4-BE49-F238E27FC236}">
                    <a16:creationId xmlns:a16="http://schemas.microsoft.com/office/drawing/2014/main" xmlns="" id="{00000000-0008-0000-0900-000073000000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3171767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6" name="Straight Connector 115">
                <a:extLst>
                  <a:ext uri="{FF2B5EF4-FFF2-40B4-BE49-F238E27FC236}">
                    <a16:creationId xmlns:a16="http://schemas.microsoft.com/office/drawing/2014/main" xmlns="" id="{00000000-0008-0000-0900-000074000000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3351767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7" name="Group 36">
              <a:extLst>
                <a:ext uri="{FF2B5EF4-FFF2-40B4-BE49-F238E27FC236}">
                  <a16:creationId xmlns:a16="http://schemas.microsoft.com/office/drawing/2014/main" xmlns="" id="{00000000-0008-0000-0900-000025000000}"/>
                </a:ext>
              </a:extLst>
            </xdr:cNvPr>
            <xdr:cNvGrpSpPr/>
          </xdr:nvGrpSpPr>
          <xdr:grpSpPr>
            <a:xfrm>
              <a:off x="3809924" y="2220506"/>
              <a:ext cx="324000" cy="180000"/>
              <a:chOff x="3801760" y="2645034"/>
              <a:chExt cx="324000" cy="180000"/>
            </a:xfrm>
          </xdr:grpSpPr>
          <xdr:cxnSp macro="">
            <xdr:nvCxnSpPr>
              <xdr:cNvPr id="113" name="Straight Connector 112">
                <a:extLst>
                  <a:ext uri="{FF2B5EF4-FFF2-40B4-BE49-F238E27FC236}">
                    <a16:creationId xmlns:a16="http://schemas.microsoft.com/office/drawing/2014/main" xmlns="" id="{00000000-0008-0000-0900-000071000000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3801760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4" name="Straight Connector 113">
                <a:extLst>
                  <a:ext uri="{FF2B5EF4-FFF2-40B4-BE49-F238E27FC236}">
                    <a16:creationId xmlns:a16="http://schemas.microsoft.com/office/drawing/2014/main" xmlns="" id="{00000000-0008-0000-0900-000072000000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3981760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8" name="Group 37">
              <a:extLst>
                <a:ext uri="{FF2B5EF4-FFF2-40B4-BE49-F238E27FC236}">
                  <a16:creationId xmlns:a16="http://schemas.microsoft.com/office/drawing/2014/main" xmlns="" id="{00000000-0008-0000-0900-000026000000}"/>
                </a:ext>
              </a:extLst>
            </xdr:cNvPr>
            <xdr:cNvGrpSpPr/>
          </xdr:nvGrpSpPr>
          <xdr:grpSpPr>
            <a:xfrm>
              <a:off x="4439559" y="2220506"/>
              <a:ext cx="324000" cy="180000"/>
              <a:chOff x="4423231" y="2645034"/>
              <a:chExt cx="324000" cy="180000"/>
            </a:xfrm>
          </xdr:grpSpPr>
          <xdr:cxnSp macro="">
            <xdr:nvCxnSpPr>
              <xdr:cNvPr id="111" name="Straight Connector 110">
                <a:extLst>
                  <a:ext uri="{FF2B5EF4-FFF2-40B4-BE49-F238E27FC236}">
                    <a16:creationId xmlns:a16="http://schemas.microsoft.com/office/drawing/2014/main" xmlns="" id="{00000000-0008-0000-0900-00006F000000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4423231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2" name="Straight Connector 111">
                <a:extLst>
                  <a:ext uri="{FF2B5EF4-FFF2-40B4-BE49-F238E27FC236}">
                    <a16:creationId xmlns:a16="http://schemas.microsoft.com/office/drawing/2014/main" xmlns="" id="{00000000-0008-0000-0900-000070000000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4603231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9" name="Group 38">
              <a:extLst>
                <a:ext uri="{FF2B5EF4-FFF2-40B4-BE49-F238E27FC236}">
                  <a16:creationId xmlns:a16="http://schemas.microsoft.com/office/drawing/2014/main" xmlns="" id="{00000000-0008-0000-0900-000027000000}"/>
                </a:ext>
              </a:extLst>
            </xdr:cNvPr>
            <xdr:cNvGrpSpPr/>
          </xdr:nvGrpSpPr>
          <xdr:grpSpPr>
            <a:xfrm>
              <a:off x="5085880" y="2220506"/>
              <a:ext cx="324000" cy="180000"/>
              <a:chOff x="5053224" y="2645034"/>
              <a:chExt cx="324000" cy="180000"/>
            </a:xfrm>
          </xdr:grpSpPr>
          <xdr:cxnSp macro="">
            <xdr:nvCxnSpPr>
              <xdr:cNvPr id="109" name="Straight Connector 108">
                <a:extLst>
                  <a:ext uri="{FF2B5EF4-FFF2-40B4-BE49-F238E27FC236}">
                    <a16:creationId xmlns:a16="http://schemas.microsoft.com/office/drawing/2014/main" xmlns="" id="{00000000-0008-0000-0900-00006D000000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5053224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0" name="Straight Connector 109">
                <a:extLst>
                  <a:ext uri="{FF2B5EF4-FFF2-40B4-BE49-F238E27FC236}">
                    <a16:creationId xmlns:a16="http://schemas.microsoft.com/office/drawing/2014/main" xmlns="" id="{00000000-0008-0000-0900-00006E000000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5233224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0" name="Group 39">
              <a:extLst>
                <a:ext uri="{FF2B5EF4-FFF2-40B4-BE49-F238E27FC236}">
                  <a16:creationId xmlns:a16="http://schemas.microsoft.com/office/drawing/2014/main" xmlns="" id="{00000000-0008-0000-0900-000028000000}"/>
                </a:ext>
              </a:extLst>
            </xdr:cNvPr>
            <xdr:cNvGrpSpPr/>
          </xdr:nvGrpSpPr>
          <xdr:grpSpPr>
            <a:xfrm>
              <a:off x="5717404" y="2220506"/>
              <a:ext cx="324000" cy="180000"/>
              <a:chOff x="5684748" y="2645034"/>
              <a:chExt cx="324000" cy="180000"/>
            </a:xfrm>
          </xdr:grpSpPr>
          <xdr:cxnSp macro="">
            <xdr:nvCxnSpPr>
              <xdr:cNvPr id="107" name="Straight Connector 106">
                <a:extLst>
                  <a:ext uri="{FF2B5EF4-FFF2-40B4-BE49-F238E27FC236}">
                    <a16:creationId xmlns:a16="http://schemas.microsoft.com/office/drawing/2014/main" xmlns="" id="{00000000-0008-0000-0900-00006B000000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5684748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8" name="Straight Connector 107">
                <a:extLst>
                  <a:ext uri="{FF2B5EF4-FFF2-40B4-BE49-F238E27FC236}">
                    <a16:creationId xmlns:a16="http://schemas.microsoft.com/office/drawing/2014/main" xmlns="" id="{00000000-0008-0000-0900-00006C000000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5864748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1" name="Group 40">
              <a:extLst>
                <a:ext uri="{FF2B5EF4-FFF2-40B4-BE49-F238E27FC236}">
                  <a16:creationId xmlns:a16="http://schemas.microsoft.com/office/drawing/2014/main" xmlns="" id="{00000000-0008-0000-0900-000029000000}"/>
                </a:ext>
              </a:extLst>
            </xdr:cNvPr>
            <xdr:cNvGrpSpPr/>
          </xdr:nvGrpSpPr>
          <xdr:grpSpPr>
            <a:xfrm>
              <a:off x="6347701" y="2220506"/>
              <a:ext cx="324000" cy="180000"/>
              <a:chOff x="5684748" y="2645034"/>
              <a:chExt cx="324000" cy="180000"/>
            </a:xfrm>
          </xdr:grpSpPr>
          <xdr:cxnSp macro="">
            <xdr:nvCxnSpPr>
              <xdr:cNvPr id="105" name="Straight Connector 104">
                <a:extLst>
                  <a:ext uri="{FF2B5EF4-FFF2-40B4-BE49-F238E27FC236}">
                    <a16:creationId xmlns:a16="http://schemas.microsoft.com/office/drawing/2014/main" xmlns="" id="{00000000-0008-0000-0900-000069000000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5684748" y="2645034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6" name="Straight Connector 105">
                <a:extLst>
                  <a:ext uri="{FF2B5EF4-FFF2-40B4-BE49-F238E27FC236}">
                    <a16:creationId xmlns:a16="http://schemas.microsoft.com/office/drawing/2014/main" xmlns="" id="{00000000-0008-0000-0900-00006A000000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5864748" y="2645034"/>
                <a:ext cx="144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2" name="Group 41">
              <a:extLst>
                <a:ext uri="{FF2B5EF4-FFF2-40B4-BE49-F238E27FC236}">
                  <a16:creationId xmlns:a16="http://schemas.microsoft.com/office/drawing/2014/main" xmlns="" id="{00000000-0008-0000-0900-00002A000000}"/>
                </a:ext>
              </a:extLst>
            </xdr:cNvPr>
            <xdr:cNvGrpSpPr/>
          </xdr:nvGrpSpPr>
          <xdr:grpSpPr>
            <a:xfrm>
              <a:off x="1914643" y="2646219"/>
              <a:ext cx="648000" cy="180000"/>
              <a:chOff x="1914643" y="3111567"/>
              <a:chExt cx="648000" cy="180000"/>
            </a:xfrm>
          </xdr:grpSpPr>
          <xdr:cxnSp macro="">
            <xdr:nvCxnSpPr>
              <xdr:cNvPr id="103" name="Straight Connector 102">
                <a:extLst>
                  <a:ext uri="{FF2B5EF4-FFF2-40B4-BE49-F238E27FC236}">
                    <a16:creationId xmlns:a16="http://schemas.microsoft.com/office/drawing/2014/main" xmlns="" id="{00000000-0008-0000-0900-000067000000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1914643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4" name="Straight Connector 103">
                <a:extLst>
                  <a:ext uri="{FF2B5EF4-FFF2-40B4-BE49-F238E27FC236}">
                    <a16:creationId xmlns:a16="http://schemas.microsoft.com/office/drawing/2014/main" xmlns="" id="{00000000-0008-0000-0900-000068000000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2094643" y="3111567"/>
                <a:ext cx="46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3" name="Group 42">
              <a:extLst>
                <a:ext uri="{FF2B5EF4-FFF2-40B4-BE49-F238E27FC236}">
                  <a16:creationId xmlns:a16="http://schemas.microsoft.com/office/drawing/2014/main" xmlns="" id="{00000000-0008-0000-0900-00002B000000}"/>
                </a:ext>
              </a:extLst>
            </xdr:cNvPr>
            <xdr:cNvGrpSpPr/>
          </xdr:nvGrpSpPr>
          <xdr:grpSpPr>
            <a:xfrm>
              <a:off x="3176160" y="2646219"/>
              <a:ext cx="648000" cy="180000"/>
              <a:chOff x="3176160" y="3111567"/>
              <a:chExt cx="648000" cy="180000"/>
            </a:xfrm>
          </xdr:grpSpPr>
          <xdr:cxnSp macro="">
            <xdr:nvCxnSpPr>
              <xdr:cNvPr id="101" name="Straight Connector 100">
                <a:extLst>
                  <a:ext uri="{FF2B5EF4-FFF2-40B4-BE49-F238E27FC236}">
                    <a16:creationId xmlns:a16="http://schemas.microsoft.com/office/drawing/2014/main" xmlns="" id="{00000000-0008-0000-0900-000065000000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3176160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2" name="Straight Connector 101">
                <a:extLst>
                  <a:ext uri="{FF2B5EF4-FFF2-40B4-BE49-F238E27FC236}">
                    <a16:creationId xmlns:a16="http://schemas.microsoft.com/office/drawing/2014/main" xmlns="" id="{00000000-0008-0000-0900-000066000000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3356160" y="3111567"/>
                <a:ext cx="46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4" name="Group 43">
              <a:extLst>
                <a:ext uri="{FF2B5EF4-FFF2-40B4-BE49-F238E27FC236}">
                  <a16:creationId xmlns:a16="http://schemas.microsoft.com/office/drawing/2014/main" xmlns="" id="{00000000-0008-0000-0900-00002C000000}"/>
                </a:ext>
              </a:extLst>
            </xdr:cNvPr>
            <xdr:cNvGrpSpPr/>
          </xdr:nvGrpSpPr>
          <xdr:grpSpPr>
            <a:xfrm>
              <a:off x="4443952" y="2646219"/>
              <a:ext cx="648000" cy="180000"/>
              <a:chOff x="4427624" y="3111567"/>
              <a:chExt cx="648000" cy="180000"/>
            </a:xfrm>
          </xdr:grpSpPr>
          <xdr:cxnSp macro="">
            <xdr:nvCxnSpPr>
              <xdr:cNvPr id="99" name="Straight Connector 98">
                <a:extLst>
                  <a:ext uri="{FF2B5EF4-FFF2-40B4-BE49-F238E27FC236}">
                    <a16:creationId xmlns:a16="http://schemas.microsoft.com/office/drawing/2014/main" xmlns="" id="{00000000-0008-0000-0900-000063000000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4427624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0" name="Straight Connector 99">
                <a:extLst>
                  <a:ext uri="{FF2B5EF4-FFF2-40B4-BE49-F238E27FC236}">
                    <a16:creationId xmlns:a16="http://schemas.microsoft.com/office/drawing/2014/main" xmlns="" id="{00000000-0008-0000-0900-000064000000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4607624" y="3111567"/>
                <a:ext cx="46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5" name="Group 44">
              <a:extLst>
                <a:ext uri="{FF2B5EF4-FFF2-40B4-BE49-F238E27FC236}">
                  <a16:creationId xmlns:a16="http://schemas.microsoft.com/office/drawing/2014/main" xmlns="" id="{00000000-0008-0000-0900-00002D000000}"/>
                </a:ext>
              </a:extLst>
            </xdr:cNvPr>
            <xdr:cNvGrpSpPr/>
          </xdr:nvGrpSpPr>
          <xdr:grpSpPr>
            <a:xfrm>
              <a:off x="5705469" y="2646219"/>
              <a:ext cx="648000" cy="180000"/>
              <a:chOff x="5689141" y="3111567"/>
              <a:chExt cx="648000" cy="180000"/>
            </a:xfrm>
          </xdr:grpSpPr>
          <xdr:cxnSp macro="">
            <xdr:nvCxnSpPr>
              <xdr:cNvPr id="97" name="Straight Connector 96">
                <a:extLst>
                  <a:ext uri="{FF2B5EF4-FFF2-40B4-BE49-F238E27FC236}">
                    <a16:creationId xmlns:a16="http://schemas.microsoft.com/office/drawing/2014/main" xmlns="" id="{00000000-0008-0000-0900-000061000000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5689141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8" name="Straight Connector 97">
                <a:extLst>
                  <a:ext uri="{FF2B5EF4-FFF2-40B4-BE49-F238E27FC236}">
                    <a16:creationId xmlns:a16="http://schemas.microsoft.com/office/drawing/2014/main" xmlns="" id="{00000000-0008-0000-0900-000062000000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5869141" y="3111567"/>
                <a:ext cx="46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46" name="Rectangle 45">
              <a:extLst>
                <a:ext uri="{FF2B5EF4-FFF2-40B4-BE49-F238E27FC236}">
                  <a16:creationId xmlns:a16="http://schemas.microsoft.com/office/drawing/2014/main" xmlns="" id="{00000000-0008-0000-0900-00002E000000}"/>
                </a:ext>
              </a:extLst>
            </xdr:cNvPr>
            <xdr:cNvSpPr/>
          </xdr:nvSpPr>
          <xdr:spPr>
            <a:xfrm>
              <a:off x="4378036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grpSp>
          <xdr:nvGrpSpPr>
            <xdr:cNvPr id="47" name="Group 46">
              <a:extLst>
                <a:ext uri="{FF2B5EF4-FFF2-40B4-BE49-F238E27FC236}">
                  <a16:creationId xmlns:a16="http://schemas.microsoft.com/office/drawing/2014/main" xmlns="" id="{00000000-0008-0000-0900-00002F000000}"/>
                </a:ext>
              </a:extLst>
            </xdr:cNvPr>
            <xdr:cNvGrpSpPr/>
          </xdr:nvGrpSpPr>
          <xdr:grpSpPr>
            <a:xfrm>
              <a:off x="4446397" y="3077932"/>
              <a:ext cx="1278000" cy="180000"/>
              <a:chOff x="4427624" y="3111567"/>
              <a:chExt cx="1278000" cy="180000"/>
            </a:xfrm>
          </xdr:grpSpPr>
          <xdr:cxnSp macro="">
            <xdr:nvCxnSpPr>
              <xdr:cNvPr id="95" name="Straight Connector 94">
                <a:extLst>
                  <a:ext uri="{FF2B5EF4-FFF2-40B4-BE49-F238E27FC236}">
                    <a16:creationId xmlns:a16="http://schemas.microsoft.com/office/drawing/2014/main" xmlns="" id="{00000000-0008-0000-0900-00005F000000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4427624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6" name="Straight Connector 95">
                <a:extLst>
                  <a:ext uri="{FF2B5EF4-FFF2-40B4-BE49-F238E27FC236}">
                    <a16:creationId xmlns:a16="http://schemas.microsoft.com/office/drawing/2014/main" xmlns="" id="{00000000-0008-0000-0900-000060000000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4607624" y="3111567"/>
                <a:ext cx="109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48" name="Rectangle 47">
              <a:extLst>
                <a:ext uri="{FF2B5EF4-FFF2-40B4-BE49-F238E27FC236}">
                  <a16:creationId xmlns:a16="http://schemas.microsoft.com/office/drawing/2014/main" xmlns="" id="{00000000-0008-0000-0900-000030000000}"/>
                </a:ext>
              </a:extLst>
            </xdr:cNvPr>
            <xdr:cNvSpPr/>
          </xdr:nvSpPr>
          <xdr:spPr>
            <a:xfrm>
              <a:off x="1844480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grpSp>
          <xdr:nvGrpSpPr>
            <xdr:cNvPr id="49" name="Group 48">
              <a:extLst>
                <a:ext uri="{FF2B5EF4-FFF2-40B4-BE49-F238E27FC236}">
                  <a16:creationId xmlns:a16="http://schemas.microsoft.com/office/drawing/2014/main" xmlns="" id="{00000000-0008-0000-0900-000031000000}"/>
                </a:ext>
              </a:extLst>
            </xdr:cNvPr>
            <xdr:cNvGrpSpPr/>
          </xdr:nvGrpSpPr>
          <xdr:grpSpPr>
            <a:xfrm>
              <a:off x="1912841" y="3075216"/>
              <a:ext cx="1278000" cy="180000"/>
              <a:chOff x="4427624" y="3111567"/>
              <a:chExt cx="1278000" cy="180000"/>
            </a:xfrm>
          </xdr:grpSpPr>
          <xdr:cxnSp macro="">
            <xdr:nvCxnSpPr>
              <xdr:cNvPr id="93" name="Straight Connector 92">
                <a:extLst>
                  <a:ext uri="{FF2B5EF4-FFF2-40B4-BE49-F238E27FC236}">
                    <a16:creationId xmlns:a16="http://schemas.microsoft.com/office/drawing/2014/main" xmlns="" id="{00000000-0008-0000-0900-00005D000000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4427624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4" name="Straight Connector 93">
                <a:extLst>
                  <a:ext uri="{FF2B5EF4-FFF2-40B4-BE49-F238E27FC236}">
                    <a16:creationId xmlns:a16="http://schemas.microsoft.com/office/drawing/2014/main" xmlns="" id="{00000000-0008-0000-0900-00005E000000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4607624" y="3111567"/>
                <a:ext cx="109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50" name="Rectangle 49">
              <a:extLst>
                <a:ext uri="{FF2B5EF4-FFF2-40B4-BE49-F238E27FC236}">
                  <a16:creationId xmlns:a16="http://schemas.microsoft.com/office/drawing/2014/main" xmlns="" id="{00000000-0008-0000-0900-000032000000}"/>
                </a:ext>
              </a:extLst>
            </xdr:cNvPr>
            <xdr:cNvSpPr/>
          </xdr:nvSpPr>
          <xdr:spPr>
            <a:xfrm>
              <a:off x="1844480" y="3618212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grpSp>
          <xdr:nvGrpSpPr>
            <xdr:cNvPr id="51" name="Group 50">
              <a:extLst>
                <a:ext uri="{FF2B5EF4-FFF2-40B4-BE49-F238E27FC236}">
                  <a16:creationId xmlns:a16="http://schemas.microsoft.com/office/drawing/2014/main" xmlns="" id="{00000000-0008-0000-0900-000033000000}"/>
                </a:ext>
              </a:extLst>
            </xdr:cNvPr>
            <xdr:cNvGrpSpPr/>
          </xdr:nvGrpSpPr>
          <xdr:grpSpPr>
            <a:xfrm>
              <a:off x="1926724" y="3500723"/>
              <a:ext cx="2541840" cy="180000"/>
              <a:chOff x="4435788" y="3111567"/>
              <a:chExt cx="2541840" cy="180000"/>
            </a:xfrm>
          </xdr:grpSpPr>
          <xdr:cxnSp macro="">
            <xdr:nvCxnSpPr>
              <xdr:cNvPr id="91" name="Straight Connector 90">
                <a:extLst>
                  <a:ext uri="{FF2B5EF4-FFF2-40B4-BE49-F238E27FC236}">
                    <a16:creationId xmlns:a16="http://schemas.microsoft.com/office/drawing/2014/main" xmlns="" id="{00000000-0008-0000-0900-00005B000000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4435788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2" name="Straight Connector 91">
                <a:extLst>
                  <a:ext uri="{FF2B5EF4-FFF2-40B4-BE49-F238E27FC236}">
                    <a16:creationId xmlns:a16="http://schemas.microsoft.com/office/drawing/2014/main" xmlns="" id="{00000000-0008-0000-0900-00005C000000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4607624" y="3111567"/>
                <a:ext cx="2370004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52" name="Straight Connector 51">
              <a:extLst>
                <a:ext uri="{FF2B5EF4-FFF2-40B4-BE49-F238E27FC236}">
                  <a16:creationId xmlns:a16="http://schemas.microsoft.com/office/drawing/2014/main" xmlns="" id="{00000000-0008-0000-0900-000034000000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3196405" y="350072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53" name="Rectangle 52">
              <a:extLst>
                <a:ext uri="{FF2B5EF4-FFF2-40B4-BE49-F238E27FC236}">
                  <a16:creationId xmlns:a16="http://schemas.microsoft.com/office/drawing/2014/main" xmlns="" id="{00000000-0008-0000-0900-000035000000}"/>
                </a:ext>
              </a:extLst>
            </xdr:cNvPr>
            <xdr:cNvSpPr/>
          </xdr:nvSpPr>
          <xdr:spPr>
            <a:xfrm>
              <a:off x="4701880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54" name="Rectangle 53">
              <a:extLst>
                <a:ext uri="{FF2B5EF4-FFF2-40B4-BE49-F238E27FC236}">
                  <a16:creationId xmlns:a16="http://schemas.microsoft.com/office/drawing/2014/main" xmlns="" id="{00000000-0008-0000-0900-000036000000}"/>
                </a:ext>
              </a:extLst>
            </xdr:cNvPr>
            <xdr:cNvSpPr/>
          </xdr:nvSpPr>
          <xdr:spPr>
            <a:xfrm>
              <a:off x="5969366" y="2748659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55" name="Straight Connector 54">
              <a:extLst>
                <a:ext uri="{FF2B5EF4-FFF2-40B4-BE49-F238E27FC236}">
                  <a16:creationId xmlns:a16="http://schemas.microsoft.com/office/drawing/2014/main" xmlns="" id="{00000000-0008-0000-0900-000037000000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4792288" y="264350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" name="Straight Connector 55">
              <a:extLst>
                <a:ext uri="{FF2B5EF4-FFF2-40B4-BE49-F238E27FC236}">
                  <a16:creationId xmlns:a16="http://schemas.microsoft.com/office/drawing/2014/main" xmlns="" id="{00000000-0008-0000-0900-000038000000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6029313" y="264350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57" name="Rectangle 56">
              <a:extLst>
                <a:ext uri="{FF2B5EF4-FFF2-40B4-BE49-F238E27FC236}">
                  <a16:creationId xmlns:a16="http://schemas.microsoft.com/office/drawing/2014/main" xmlns="" id="{00000000-0008-0000-0900-000039000000}"/>
                </a:ext>
              </a:extLst>
            </xdr:cNvPr>
            <xdr:cNvSpPr/>
          </xdr:nvSpPr>
          <xdr:spPr>
            <a:xfrm>
              <a:off x="2168324" y="2754107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58" name="Rectangle 57">
              <a:extLst>
                <a:ext uri="{FF2B5EF4-FFF2-40B4-BE49-F238E27FC236}">
                  <a16:creationId xmlns:a16="http://schemas.microsoft.com/office/drawing/2014/main" xmlns="" id="{00000000-0008-0000-0900-00003A000000}"/>
                </a:ext>
              </a:extLst>
            </xdr:cNvPr>
            <xdr:cNvSpPr/>
          </xdr:nvSpPr>
          <xdr:spPr>
            <a:xfrm>
              <a:off x="3435810" y="2754107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59" name="Straight Connector 58">
              <a:extLst>
                <a:ext uri="{FF2B5EF4-FFF2-40B4-BE49-F238E27FC236}">
                  <a16:creationId xmlns:a16="http://schemas.microsoft.com/office/drawing/2014/main" xmlns="" id="{00000000-0008-0000-0900-00003B000000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2258732" y="2648951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Straight Connector 59">
              <a:extLst>
                <a:ext uri="{FF2B5EF4-FFF2-40B4-BE49-F238E27FC236}">
                  <a16:creationId xmlns:a16="http://schemas.microsoft.com/office/drawing/2014/main" xmlns="" id="{00000000-0008-0000-0900-00003C000000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3495757" y="2648951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1" name="Straight Connector 60">
              <a:extLst>
                <a:ext uri="{FF2B5EF4-FFF2-40B4-BE49-F238E27FC236}">
                  <a16:creationId xmlns:a16="http://schemas.microsoft.com/office/drawing/2014/main" xmlns="" id="{00000000-0008-0000-0900-00003D000000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2240735" y="3498602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2" name="Straight Connector 61">
              <a:extLst>
                <a:ext uri="{FF2B5EF4-FFF2-40B4-BE49-F238E27FC236}">
                  <a16:creationId xmlns:a16="http://schemas.microsoft.com/office/drawing/2014/main" xmlns="" id="{00000000-0008-0000-0900-00003E000000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3518580" y="3498602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3" name="Straight Connector 62">
              <a:extLst>
                <a:ext uri="{FF2B5EF4-FFF2-40B4-BE49-F238E27FC236}">
                  <a16:creationId xmlns:a16="http://schemas.microsoft.com/office/drawing/2014/main" xmlns="" id="{00000000-0008-0000-0900-00003F000000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2572743" y="3495886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4" name="Straight Connector 63">
              <a:extLst>
                <a:ext uri="{FF2B5EF4-FFF2-40B4-BE49-F238E27FC236}">
                  <a16:creationId xmlns:a16="http://schemas.microsoft.com/office/drawing/2014/main" xmlns="" id="{00000000-0008-0000-0900-000040000000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3834260" y="3504050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5" name="Rectangle 64">
              <a:extLst>
                <a:ext uri="{FF2B5EF4-FFF2-40B4-BE49-F238E27FC236}">
                  <a16:creationId xmlns:a16="http://schemas.microsoft.com/office/drawing/2014/main" xmlns="" id="{00000000-0008-0000-0900-000041000000}"/>
                </a:ext>
              </a:extLst>
            </xdr:cNvPr>
            <xdr:cNvSpPr/>
          </xdr:nvSpPr>
          <xdr:spPr>
            <a:xfrm>
              <a:off x="2166655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grpSp>
          <xdr:nvGrpSpPr>
            <xdr:cNvPr id="66" name="Group 65">
              <a:extLst>
                <a:ext uri="{FF2B5EF4-FFF2-40B4-BE49-F238E27FC236}">
                  <a16:creationId xmlns:a16="http://schemas.microsoft.com/office/drawing/2014/main" xmlns="" id="{00000000-0008-0000-0900-000042000000}"/>
                </a:ext>
              </a:extLst>
            </xdr:cNvPr>
            <xdr:cNvGrpSpPr/>
          </xdr:nvGrpSpPr>
          <xdr:grpSpPr>
            <a:xfrm>
              <a:off x="2232571" y="3076195"/>
              <a:ext cx="648000" cy="180000"/>
              <a:chOff x="4427624" y="3111567"/>
              <a:chExt cx="648000" cy="180000"/>
            </a:xfrm>
          </xdr:grpSpPr>
          <xdr:cxnSp macro="">
            <xdr:nvCxnSpPr>
              <xdr:cNvPr id="89" name="Straight Connector 88">
                <a:extLst>
                  <a:ext uri="{FF2B5EF4-FFF2-40B4-BE49-F238E27FC236}">
                    <a16:creationId xmlns:a16="http://schemas.microsoft.com/office/drawing/2014/main" xmlns="" id="{00000000-0008-0000-0900-000059000000}"/>
                  </a:ext>
                </a:extLst>
              </xdr:cNvPr>
              <xdr:cNvCxnSpPr>
                <a:cxnSpLocks noChangeAspect="1"/>
              </xdr:cNvCxnSpPr>
            </xdr:nvCxnSpPr>
            <xdr:spPr>
              <a:xfrm flipH="1">
                <a:off x="4427624" y="3111567"/>
                <a:ext cx="180000" cy="180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0" name="Straight Connector 89">
                <a:extLst>
                  <a:ext uri="{FF2B5EF4-FFF2-40B4-BE49-F238E27FC236}">
                    <a16:creationId xmlns:a16="http://schemas.microsoft.com/office/drawing/2014/main" xmlns="" id="{00000000-0008-0000-0900-00005A000000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4607624" y="3111567"/>
                <a:ext cx="468000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7" name="Rectangle 66">
              <a:extLst>
                <a:ext uri="{FF2B5EF4-FFF2-40B4-BE49-F238E27FC236}">
                  <a16:creationId xmlns:a16="http://schemas.microsoft.com/office/drawing/2014/main" xmlns="" id="{00000000-0008-0000-0900-000043000000}"/>
                </a:ext>
              </a:extLst>
            </xdr:cNvPr>
            <xdr:cNvSpPr/>
          </xdr:nvSpPr>
          <xdr:spPr>
            <a:xfrm>
              <a:off x="2490499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68" name="Straight Connector 67">
              <a:extLst>
                <a:ext uri="{FF2B5EF4-FFF2-40B4-BE49-F238E27FC236}">
                  <a16:creationId xmlns:a16="http://schemas.microsoft.com/office/drawing/2014/main" xmlns="" id="{00000000-0008-0000-0900-000044000000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2572743" y="308164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" name="Straight Connector 68">
              <a:extLst>
                <a:ext uri="{FF2B5EF4-FFF2-40B4-BE49-F238E27FC236}">
                  <a16:creationId xmlns:a16="http://schemas.microsoft.com/office/drawing/2014/main" xmlns="" id="{00000000-0008-0000-0900-000045000000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2878285" y="350072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0" name="Rectangle 69">
              <a:extLst>
                <a:ext uri="{FF2B5EF4-FFF2-40B4-BE49-F238E27FC236}">
                  <a16:creationId xmlns:a16="http://schemas.microsoft.com/office/drawing/2014/main" xmlns="" id="{00000000-0008-0000-0900-000046000000}"/>
                </a:ext>
              </a:extLst>
            </xdr:cNvPr>
            <xdr:cNvSpPr/>
          </xdr:nvSpPr>
          <xdr:spPr>
            <a:xfrm>
              <a:off x="2794846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71" name="Straight Connector 70">
              <a:extLst>
                <a:ext uri="{FF2B5EF4-FFF2-40B4-BE49-F238E27FC236}">
                  <a16:creationId xmlns:a16="http://schemas.microsoft.com/office/drawing/2014/main" xmlns="" id="{00000000-0008-0000-0900-000047000000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2877090" y="3081663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2" name="Rectangle 71">
              <a:extLst>
                <a:ext uri="{FF2B5EF4-FFF2-40B4-BE49-F238E27FC236}">
                  <a16:creationId xmlns:a16="http://schemas.microsoft.com/office/drawing/2014/main" xmlns="" id="{00000000-0008-0000-0900-000048000000}"/>
                </a:ext>
              </a:extLst>
            </xdr:cNvPr>
            <xdr:cNvSpPr/>
          </xdr:nvSpPr>
          <xdr:spPr>
            <a:xfrm>
              <a:off x="4693373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73" name="Straight Connector 72">
              <a:extLst>
                <a:ext uri="{FF2B5EF4-FFF2-40B4-BE49-F238E27FC236}">
                  <a16:creationId xmlns:a16="http://schemas.microsoft.com/office/drawing/2014/main" xmlns="" id="{00000000-0008-0000-0900-000049000000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4759289" y="3082622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4" name="Rectangle 73">
              <a:extLst>
                <a:ext uri="{FF2B5EF4-FFF2-40B4-BE49-F238E27FC236}">
                  <a16:creationId xmlns:a16="http://schemas.microsoft.com/office/drawing/2014/main" xmlns="" id="{00000000-0008-0000-0900-00004A000000}"/>
                </a:ext>
              </a:extLst>
            </xdr:cNvPr>
            <xdr:cNvSpPr/>
          </xdr:nvSpPr>
          <xdr:spPr>
            <a:xfrm>
              <a:off x="5017217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75" name="Straight Connector 74">
              <a:extLst>
                <a:ext uri="{FF2B5EF4-FFF2-40B4-BE49-F238E27FC236}">
                  <a16:creationId xmlns:a16="http://schemas.microsoft.com/office/drawing/2014/main" xmlns="" id="{00000000-0008-0000-0900-00004B000000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5099461" y="3088070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6" name="Rectangle 75">
              <a:extLst>
                <a:ext uri="{FF2B5EF4-FFF2-40B4-BE49-F238E27FC236}">
                  <a16:creationId xmlns:a16="http://schemas.microsoft.com/office/drawing/2014/main" xmlns="" id="{00000000-0008-0000-0900-00004C000000}"/>
                </a:ext>
              </a:extLst>
            </xdr:cNvPr>
            <xdr:cNvSpPr/>
          </xdr:nvSpPr>
          <xdr:spPr>
            <a:xfrm>
              <a:off x="5321564" y="319322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cxnSp macro="">
          <xdr:nvCxnSpPr>
            <xdr:cNvPr id="77" name="Straight Connector 76">
              <a:extLst>
                <a:ext uri="{FF2B5EF4-FFF2-40B4-BE49-F238E27FC236}">
                  <a16:creationId xmlns:a16="http://schemas.microsoft.com/office/drawing/2014/main" xmlns="" id="{00000000-0008-0000-0900-00004D000000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5403808" y="3088090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8" name="TextBox 183">
              <a:extLst>
                <a:ext uri="{FF2B5EF4-FFF2-40B4-BE49-F238E27FC236}">
                  <a16:creationId xmlns:a16="http://schemas.microsoft.com/office/drawing/2014/main" xmlns="" id="{00000000-0008-0000-0900-00004E000000}"/>
                </a:ext>
              </a:extLst>
            </xdr:cNvPr>
            <xdr:cNvSpPr txBox="1"/>
          </xdr:nvSpPr>
          <xdr:spPr>
            <a:xfrm>
              <a:off x="1700636" y="3978381"/>
              <a:ext cx="5544000" cy="276999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wrap="square" lIns="18000" rIns="18000" rtlCol="0">
              <a:spAutoFit/>
            </a:bodyPr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sv-SE" sz="1200">
                  <a:latin typeface="+mn-lt"/>
                </a:rPr>
                <a:t>16:0  15:0  14:0  13:0  12:0 11:0 10:0  9:0   8:0   7:0    6:0   5:0    4:0   3:0    2:0   1:0    0:0</a:t>
              </a:r>
            </a:p>
          </xdr:txBody>
        </xdr:sp>
        <xdr:cxnSp macro="">
          <xdr:nvCxnSpPr>
            <xdr:cNvPr id="79" name="Straight Connector 78">
              <a:extLst>
                <a:ext uri="{FF2B5EF4-FFF2-40B4-BE49-F238E27FC236}">
                  <a16:creationId xmlns:a16="http://schemas.microsoft.com/office/drawing/2014/main" xmlns="" id="{00000000-0008-0000-0900-00004F000000}"/>
                </a:ext>
              </a:extLst>
            </xdr:cNvPr>
            <xdr:cNvCxnSpPr>
              <a:cxnSpLocks noChangeAspect="1"/>
            </xdr:cNvCxnSpPr>
          </xdr:nvCxnSpPr>
          <xdr:spPr>
            <a:xfrm flipH="1">
              <a:off x="4158104" y="3509498"/>
              <a:ext cx="180000" cy="1800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0" name="Flowchart: Alternate Process 79">
              <a:extLst>
                <a:ext uri="{FF2B5EF4-FFF2-40B4-BE49-F238E27FC236}">
                  <a16:creationId xmlns:a16="http://schemas.microsoft.com/office/drawing/2014/main" xmlns="" id="{00000000-0008-0000-0900-000050000000}"/>
                </a:ext>
              </a:extLst>
            </xdr:cNvPr>
            <xdr:cNvSpPr/>
          </xdr:nvSpPr>
          <xdr:spPr>
            <a:xfrm>
              <a:off x="1700636" y="1608359"/>
              <a:ext cx="5544000" cy="277586"/>
            </a:xfrm>
            <a:prstGeom prst="flowChartAlternateProcess">
              <a:avLst/>
            </a:prstGeom>
            <a:solidFill>
              <a:schemeClr val="bg1"/>
            </a:solidFill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108000" tIns="36000" rIns="18000" bIns="3600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1200">
                  <a:solidFill>
                    <a:schemeClr val="tx1"/>
                  </a:solidFill>
                </a:rPr>
                <a:t>16     15     14    13     12     11    10      9       8       7       6      5       4       3       2       1:0    CIN</a:t>
              </a:r>
            </a:p>
          </xdr:txBody>
        </xdr:sp>
        <xdr:sp macro="" textlink="">
          <xdr:nvSpPr>
            <xdr:cNvPr id="81" name="Rectangle 80">
              <a:extLst>
                <a:ext uri="{FF2B5EF4-FFF2-40B4-BE49-F238E27FC236}">
                  <a16:creationId xmlns:a16="http://schemas.microsoft.com/office/drawing/2014/main" xmlns="" id="{00000000-0008-0000-0900-000051000000}"/>
                </a:ext>
              </a:extLst>
            </xdr:cNvPr>
            <xdr:cNvSpPr/>
          </xdr:nvSpPr>
          <xdr:spPr>
            <a:xfrm>
              <a:off x="6283679" y="2310506"/>
              <a:ext cx="155121" cy="155121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82" name="Rectangle 81">
              <a:extLst>
                <a:ext uri="{FF2B5EF4-FFF2-40B4-BE49-F238E27FC236}">
                  <a16:creationId xmlns:a16="http://schemas.microsoft.com/office/drawing/2014/main" xmlns="" id="{00000000-0008-0000-0900-000052000000}"/>
                </a:ext>
              </a:extLst>
            </xdr:cNvPr>
            <xdr:cNvSpPr/>
          </xdr:nvSpPr>
          <xdr:spPr>
            <a:xfrm>
              <a:off x="3120130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83" name="Rectangle 82">
              <a:extLst>
                <a:ext uri="{FF2B5EF4-FFF2-40B4-BE49-F238E27FC236}">
                  <a16:creationId xmlns:a16="http://schemas.microsoft.com/office/drawing/2014/main" xmlns="" id="{00000000-0008-0000-0900-000053000000}"/>
                </a:ext>
              </a:extLst>
            </xdr:cNvPr>
            <xdr:cNvSpPr/>
          </xdr:nvSpPr>
          <xdr:spPr>
            <a:xfrm>
              <a:off x="2158491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84" name="Rectangle 83">
              <a:extLst>
                <a:ext uri="{FF2B5EF4-FFF2-40B4-BE49-F238E27FC236}">
                  <a16:creationId xmlns:a16="http://schemas.microsoft.com/office/drawing/2014/main" xmlns="" id="{00000000-0008-0000-0900-000054000000}"/>
                </a:ext>
              </a:extLst>
            </xdr:cNvPr>
            <xdr:cNvSpPr/>
          </xdr:nvSpPr>
          <xdr:spPr>
            <a:xfrm>
              <a:off x="3434141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85" name="Rectangle 84">
              <a:extLst>
                <a:ext uri="{FF2B5EF4-FFF2-40B4-BE49-F238E27FC236}">
                  <a16:creationId xmlns:a16="http://schemas.microsoft.com/office/drawing/2014/main" xmlns="" id="{00000000-0008-0000-0900-000055000000}"/>
                </a:ext>
              </a:extLst>
            </xdr:cNvPr>
            <xdr:cNvSpPr/>
          </xdr:nvSpPr>
          <xdr:spPr>
            <a:xfrm>
              <a:off x="2482335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86" name="Rectangle 85">
              <a:extLst>
                <a:ext uri="{FF2B5EF4-FFF2-40B4-BE49-F238E27FC236}">
                  <a16:creationId xmlns:a16="http://schemas.microsoft.com/office/drawing/2014/main" xmlns="" id="{00000000-0008-0000-0900-000056000000}"/>
                </a:ext>
              </a:extLst>
            </xdr:cNvPr>
            <xdr:cNvSpPr/>
          </xdr:nvSpPr>
          <xdr:spPr>
            <a:xfrm>
              <a:off x="3749821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87" name="Rectangle 86">
              <a:extLst>
                <a:ext uri="{FF2B5EF4-FFF2-40B4-BE49-F238E27FC236}">
                  <a16:creationId xmlns:a16="http://schemas.microsoft.com/office/drawing/2014/main" xmlns="" id="{00000000-0008-0000-0900-000057000000}"/>
                </a:ext>
              </a:extLst>
            </xdr:cNvPr>
            <xdr:cNvSpPr/>
          </xdr:nvSpPr>
          <xdr:spPr>
            <a:xfrm>
              <a:off x="2804205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  <xdr:sp macro="" textlink="">
          <xdr:nvSpPr>
            <xdr:cNvPr id="88" name="Rectangle 87">
              <a:extLst>
                <a:ext uri="{FF2B5EF4-FFF2-40B4-BE49-F238E27FC236}">
                  <a16:creationId xmlns:a16="http://schemas.microsoft.com/office/drawing/2014/main" xmlns="" id="{00000000-0008-0000-0900-000058000000}"/>
                </a:ext>
              </a:extLst>
            </xdr:cNvPr>
            <xdr:cNvSpPr/>
          </xdr:nvSpPr>
          <xdr:spPr>
            <a:xfrm>
              <a:off x="4073665" y="3618212"/>
              <a:ext cx="155121" cy="155121"/>
            </a:xfrm>
            <a:prstGeom prst="rect">
              <a:avLst/>
            </a:prstGeom>
            <a:solidFill>
              <a:srgbClr val="7F7F7F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sv-S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/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85725</xdr:rowOff>
    </xdr:from>
    <xdr:to>
      <xdr:col>24</xdr:col>
      <xdr:colOff>323850</xdr:colOff>
      <xdr:row>38</xdr:row>
      <xdr:rowOff>109171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5725"/>
          <a:ext cx="7867650" cy="7262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workbookViewId="0">
      <selection activeCell="AC16" sqref="AC16"/>
    </sheetView>
  </sheetViews>
  <sheetFormatPr baseColWidth="10" defaultColWidth="8.83203125" defaultRowHeight="14" x14ac:dyDescent="0"/>
  <cols>
    <col min="1" max="2" width="5.6640625" customWidth="1"/>
    <col min="3" max="18" width="5.33203125" customWidth="1"/>
    <col min="19" max="40" width="5.6640625" customWidth="1"/>
  </cols>
  <sheetData>
    <row r="1" spans="1:36" ht="18">
      <c r="B1" s="15" t="s">
        <v>109</v>
      </c>
      <c r="C1" s="16"/>
      <c r="W1" s="89"/>
      <c r="AE1" s="3"/>
      <c r="AF1" s="3"/>
      <c r="AG1" s="3"/>
      <c r="AH1" s="3"/>
      <c r="AI1" s="3"/>
      <c r="AJ1" s="3"/>
    </row>
    <row r="2" spans="1:36" ht="16" thickBot="1">
      <c r="R2" s="11" t="s">
        <v>39</v>
      </c>
      <c r="V2" s="6" t="s">
        <v>25</v>
      </c>
      <c r="W2" s="6" t="s">
        <v>26</v>
      </c>
      <c r="X2" s="7" t="s">
        <v>27</v>
      </c>
      <c r="Y2" s="6" t="s">
        <v>29</v>
      </c>
      <c r="Z2" s="102" t="s">
        <v>28</v>
      </c>
      <c r="AA2" s="6"/>
      <c r="AB2" s="6" t="s">
        <v>29</v>
      </c>
      <c r="AC2" s="6" t="s">
        <v>30</v>
      </c>
      <c r="AE2" s="35"/>
      <c r="AF2" s="35"/>
      <c r="AG2" s="35"/>
      <c r="AH2" s="119"/>
      <c r="AI2" s="3"/>
      <c r="AJ2" s="3"/>
    </row>
    <row r="3" spans="1:36" ht="15">
      <c r="V3" s="59">
        <v>0</v>
      </c>
      <c r="W3" s="59">
        <v>0</v>
      </c>
      <c r="X3" s="8">
        <v>0</v>
      </c>
      <c r="Y3" s="4">
        <v>0</v>
      </c>
      <c r="Z3" s="89">
        <v>0</v>
      </c>
      <c r="AA3" s="59"/>
      <c r="AB3" s="59" t="s">
        <v>158</v>
      </c>
      <c r="AC3" s="59">
        <f>OR(AND(V3,W3),AND(X3,OR(V3,W3)))*1</f>
        <v>0</v>
      </c>
      <c r="AE3" s="35"/>
      <c r="AF3" s="35"/>
      <c r="AG3" s="35"/>
      <c r="AH3" s="119"/>
      <c r="AI3" s="3"/>
      <c r="AJ3" s="3"/>
    </row>
    <row r="4" spans="1:36" ht="16" customHeight="1">
      <c r="A4" s="17"/>
      <c r="B4" s="17"/>
      <c r="C4" s="17" t="s">
        <v>38</v>
      </c>
      <c r="D4" s="17"/>
      <c r="E4" s="17"/>
      <c r="F4" s="17"/>
      <c r="G4" s="17"/>
      <c r="H4" s="18" t="s">
        <v>0</v>
      </c>
      <c r="I4" s="19"/>
      <c r="J4" s="74">
        <f>IF($M$4&gt;=0,0,1)</f>
        <v>1</v>
      </c>
      <c r="K4" s="42"/>
      <c r="L4" s="19" t="s">
        <v>1</v>
      </c>
      <c r="M4" s="20">
        <v>-100</v>
      </c>
      <c r="N4" s="21" t="s">
        <v>24</v>
      </c>
      <c r="O4" s="21" t="s">
        <v>22</v>
      </c>
      <c r="P4" s="17"/>
      <c r="Q4" s="17"/>
      <c r="R4" s="17"/>
      <c r="S4" s="17"/>
      <c r="T4" s="17"/>
      <c r="V4" s="59">
        <v>0</v>
      </c>
      <c r="W4" s="59">
        <v>0</v>
      </c>
      <c r="X4" s="8">
        <v>1</v>
      </c>
      <c r="Y4" s="4">
        <v>0</v>
      </c>
      <c r="Z4" s="89">
        <v>1</v>
      </c>
      <c r="AA4" s="59"/>
      <c r="AB4" s="59" t="s">
        <v>157</v>
      </c>
      <c r="AC4" s="59" t="s">
        <v>157</v>
      </c>
      <c r="AE4" s="71"/>
      <c r="AF4" s="71"/>
      <c r="AG4" s="71"/>
      <c r="AH4" s="82"/>
      <c r="AI4" s="3"/>
      <c r="AJ4" s="3"/>
    </row>
    <row r="5" spans="1:36" ht="16" customHeight="1">
      <c r="A5" s="17"/>
      <c r="B5" s="17"/>
      <c r="C5" s="17" t="s">
        <v>2</v>
      </c>
      <c r="D5" s="17"/>
      <c r="E5" s="17"/>
      <c r="F5" s="22">
        <v>0</v>
      </c>
      <c r="G5" s="17"/>
      <c r="H5" s="18" t="s">
        <v>3</v>
      </c>
      <c r="I5" s="19"/>
      <c r="J5" s="74">
        <f>IF($M$5&gt;=0,0,1)</f>
        <v>1</v>
      </c>
      <c r="K5" s="42"/>
      <c r="L5" s="19" t="s">
        <v>4</v>
      </c>
      <c r="M5" s="20">
        <v>-120</v>
      </c>
      <c r="N5" s="21" t="s">
        <v>24</v>
      </c>
      <c r="O5" s="17" t="s">
        <v>23</v>
      </c>
      <c r="P5" s="17"/>
      <c r="Q5" s="17"/>
      <c r="R5" s="17"/>
      <c r="S5" s="17"/>
      <c r="T5" s="17"/>
      <c r="V5" s="59">
        <v>0</v>
      </c>
      <c r="W5" s="59">
        <v>1</v>
      </c>
      <c r="X5" s="8">
        <v>0</v>
      </c>
      <c r="Y5" s="4">
        <v>0</v>
      </c>
      <c r="Z5" s="89">
        <v>1</v>
      </c>
      <c r="AA5" s="59"/>
      <c r="AB5" s="59" t="s">
        <v>157</v>
      </c>
      <c r="AC5" s="59" t="s">
        <v>157</v>
      </c>
      <c r="AE5" s="71"/>
      <c r="AF5" s="71"/>
      <c r="AG5" s="71"/>
      <c r="AH5" s="2"/>
      <c r="AI5" s="3"/>
      <c r="AJ5" s="3"/>
    </row>
    <row r="6" spans="1:36" ht="16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 t="s">
        <v>5</v>
      </c>
      <c r="M6" s="23">
        <f>IF(F5,M4-M5,M4+M5)</f>
        <v>-220</v>
      </c>
      <c r="N6" s="17"/>
      <c r="O6" s="17"/>
      <c r="P6" s="17"/>
      <c r="Q6" s="17"/>
      <c r="R6" s="17"/>
      <c r="S6" s="17"/>
      <c r="T6" s="17"/>
      <c r="V6" s="59">
        <v>0</v>
      </c>
      <c r="W6" s="59">
        <v>1</v>
      </c>
      <c r="X6" s="8">
        <v>1</v>
      </c>
      <c r="Y6" s="4">
        <v>1</v>
      </c>
      <c r="Z6" s="89">
        <v>0</v>
      </c>
      <c r="AA6" s="59"/>
      <c r="AB6" s="59" t="s">
        <v>157</v>
      </c>
      <c r="AC6" s="59" t="s">
        <v>157</v>
      </c>
      <c r="AE6" s="71"/>
      <c r="AF6" s="71"/>
      <c r="AG6" s="71"/>
      <c r="AH6" s="35"/>
      <c r="AI6" s="3"/>
      <c r="AJ6" s="3"/>
    </row>
    <row r="7" spans="1:36" ht="16" customHeight="1" thickBot="1">
      <c r="B7" s="45" t="s">
        <v>47</v>
      </c>
      <c r="C7" s="45"/>
      <c r="D7" s="45"/>
      <c r="E7" s="45"/>
      <c r="F7" s="45"/>
      <c r="G7" s="45"/>
      <c r="H7" s="45"/>
      <c r="I7" s="38" t="e">
        <f>Q12+2*O12+4*M12+8*K12+16*I12+32*G12+64*E12-128*C12</f>
        <v>#VALUE!</v>
      </c>
      <c r="J7" s="45" t="s">
        <v>20</v>
      </c>
      <c r="K7" s="45"/>
      <c r="L7" s="45"/>
      <c r="M7" s="45"/>
      <c r="N7" s="39" t="e">
        <f>IF(I7=M6,"YES","NO")</f>
        <v>#VALUE!</v>
      </c>
      <c r="O7" s="45" t="s">
        <v>21</v>
      </c>
      <c r="P7" s="45"/>
      <c r="Q7" s="45"/>
      <c r="R7" s="37" t="str">
        <f>IF(C$10&lt;&gt;D$10,"NO",IF(AND(C$10=D$10,C$10=C$12),"NO","YES"))</f>
        <v>NO</v>
      </c>
      <c r="V7" s="59">
        <v>1</v>
      </c>
      <c r="W7" s="59">
        <v>0</v>
      </c>
      <c r="X7" s="8">
        <v>0</v>
      </c>
      <c r="Y7" s="4">
        <v>0</v>
      </c>
      <c r="Z7" s="89">
        <v>1</v>
      </c>
      <c r="AA7" s="59"/>
      <c r="AB7" s="59" t="s">
        <v>157</v>
      </c>
      <c r="AC7" s="59" t="s">
        <v>157</v>
      </c>
      <c r="AE7" s="71"/>
      <c r="AF7" s="71"/>
      <c r="AG7" s="71"/>
      <c r="AH7" s="120"/>
      <c r="AI7" s="3"/>
      <c r="AJ7" s="3"/>
    </row>
    <row r="8" spans="1:36" s="29" customFormat="1" ht="16" customHeight="1">
      <c r="A8" s="24"/>
      <c r="B8" s="25"/>
      <c r="C8" s="53" t="s">
        <v>41</v>
      </c>
      <c r="D8" s="54" t="s">
        <v>41</v>
      </c>
      <c r="E8" s="26" t="s">
        <v>41</v>
      </c>
      <c r="F8" s="26" t="s">
        <v>41</v>
      </c>
      <c r="G8" s="54" t="s">
        <v>41</v>
      </c>
      <c r="H8" s="54" t="s">
        <v>41</v>
      </c>
      <c r="I8" s="26" t="s">
        <v>41</v>
      </c>
      <c r="J8" s="26" t="s">
        <v>41</v>
      </c>
      <c r="K8" s="54" t="s">
        <v>41</v>
      </c>
      <c r="L8" s="54" t="s">
        <v>41</v>
      </c>
      <c r="M8" s="26" t="s">
        <v>41</v>
      </c>
      <c r="N8" s="26" t="s">
        <v>41</v>
      </c>
      <c r="O8" s="54" t="s">
        <v>41</v>
      </c>
      <c r="P8" s="54" t="s">
        <v>41</v>
      </c>
      <c r="Q8" s="26" t="s">
        <v>41</v>
      </c>
      <c r="R8" s="27" t="s">
        <v>41</v>
      </c>
      <c r="S8" s="24"/>
      <c r="T8" s="25"/>
      <c r="U8" s="28"/>
      <c r="V8" s="59">
        <v>1</v>
      </c>
      <c r="W8" s="59">
        <v>0</v>
      </c>
      <c r="X8" s="8">
        <v>1</v>
      </c>
      <c r="Y8" s="4">
        <v>1</v>
      </c>
      <c r="Z8" s="89">
        <v>0</v>
      </c>
      <c r="AA8" s="59"/>
      <c r="AB8" s="59" t="s">
        <v>157</v>
      </c>
      <c r="AC8" s="59" t="s">
        <v>157</v>
      </c>
      <c r="AH8" s="71"/>
      <c r="AI8" s="71"/>
      <c r="AJ8" s="71"/>
    </row>
    <row r="9" spans="1:36" ht="16" customHeight="1">
      <c r="A9" s="30"/>
      <c r="C9" s="55" t="s">
        <v>43</v>
      </c>
      <c r="D9" s="56" t="s">
        <v>44</v>
      </c>
      <c r="E9" s="31" t="s">
        <v>6</v>
      </c>
      <c r="F9" s="31" t="s">
        <v>7</v>
      </c>
      <c r="G9" s="56" t="s">
        <v>8</v>
      </c>
      <c r="H9" s="56" t="s">
        <v>9</v>
      </c>
      <c r="I9" s="31" t="s">
        <v>10</v>
      </c>
      <c r="J9" s="31" t="s">
        <v>11</v>
      </c>
      <c r="K9" s="56" t="s">
        <v>12</v>
      </c>
      <c r="L9" s="56" t="s">
        <v>13</v>
      </c>
      <c r="M9" s="31" t="s">
        <v>14</v>
      </c>
      <c r="N9" s="31" t="s">
        <v>15</v>
      </c>
      <c r="O9" s="56" t="s">
        <v>16</v>
      </c>
      <c r="P9" s="56" t="s">
        <v>17</v>
      </c>
      <c r="Q9" s="31" t="s">
        <v>18</v>
      </c>
      <c r="R9" s="32" t="s">
        <v>19</v>
      </c>
      <c r="S9" s="33"/>
      <c r="T9" s="60"/>
      <c r="U9" s="60"/>
      <c r="V9" s="59">
        <v>1</v>
      </c>
      <c r="W9" s="59">
        <v>1</v>
      </c>
      <c r="X9" s="8">
        <v>0</v>
      </c>
      <c r="Y9" s="4">
        <v>1</v>
      </c>
      <c r="Z9" s="89">
        <v>0</v>
      </c>
      <c r="AA9" s="59"/>
      <c r="AB9" s="59" t="s">
        <v>157</v>
      </c>
      <c r="AC9" s="59" t="s">
        <v>157</v>
      </c>
    </row>
    <row r="10" spans="1:36" ht="16" customHeight="1" thickBot="1">
      <c r="A10" s="30"/>
      <c r="C10" s="63">
        <f>IF($M$4&gt;=0,0,1)</f>
        <v>1</v>
      </c>
      <c r="D10" s="62">
        <f>IF($F$5,NOT(J5),J5)*1</f>
        <v>1</v>
      </c>
      <c r="E10" s="64">
        <f>IF($J$4,AND((256+$M$4)&gt;=64,ISODD((256+$M$4)/64)),AND($M$4&gt;=64,ISODD($M$4/64)))*1</f>
        <v>0</v>
      </c>
      <c r="F10" s="61">
        <f>IF($F$5,NOT(IF($J$5,AND((256+$M$5)&gt;=64,ISODD((256+$M$5)/64)),AND($M$5&gt;=64,ISODD($M$5/64)))),IF($J$5,AND((256+$M$5)&gt;=64,ISODD((256+$M$5)/64)),AND($M$5&gt;=64,ISODD($M$5/64))))*1</f>
        <v>0</v>
      </c>
      <c r="G10" s="62">
        <f>IF($J$4,AND((256+$M$4)&gt;=32,ISODD((256+$M$4)/32)),AND($M$4&gt;=32,ISODD($M$4/32)))*1</f>
        <v>0</v>
      </c>
      <c r="H10" s="62">
        <f>IF($F$5,NOT(IF($J$5,AND((256+$M$5)&gt;=32,ISODD((256+$M$5)/32)),AND($M$5&gt;=32,ISODD($M$5/32)))),IF($J$5,AND((256+$M$5)&gt;=32,ISODD((256+$M$5)/32)),AND($M$5&gt;=32,ISODD($M$5/32))))*1</f>
        <v>0</v>
      </c>
      <c r="I10" s="64">
        <f>IF($J$4,AND((256+$M$4)&gt;=16,ISODD((256+$M$4)/16)),AND($M$4&gt;=16,ISODD($M$4/16)))*1</f>
        <v>1</v>
      </c>
      <c r="J10" s="61">
        <f>IF($F$5,NOT(IF($J$5,AND((256+$M$5)&gt;=16,ISODD((256+$M$5)/16)),AND($M$5&gt;=16,ISODD($M$5/16)))),IF($J$5,AND((256+$M$5)&gt;=16,ISODD((256+$M$5)/16)),AND($M$5&gt;=16,ISODD($M$5/16))))*1</f>
        <v>0</v>
      </c>
      <c r="K10" s="62">
        <f>IF($J$4,AND((256+$M$4)&gt;=8,ISODD((256+$M$4)/8)),AND($M$4&gt;=8,ISODD($M$4/8)))*1</f>
        <v>1</v>
      </c>
      <c r="L10" s="62">
        <f>IF($F$5,NOT(IF($J$5,AND((256+$M$5)&gt;=8,ISODD((256+$M$5)/8)),AND($M$5&gt;=8,ISODD($M$5/8)))),IF($J$5,AND((256+$M$5)&gt;=8,ISODD((256+$M$5)/8)),AND($M$5&gt;=8,ISODD($M$5/8))))*1</f>
        <v>1</v>
      </c>
      <c r="M10" s="64">
        <f>IF($J$4,AND((256+$M$4)&gt;=4,ISODD((256+$M$4)/4)),AND($M$4&gt;=4,ISODD($M$4/4)))*1</f>
        <v>1</v>
      </c>
      <c r="N10" s="61">
        <f>IF($F$5,NOT(IF($J$5,AND((256+$M$5)&gt;=4,ISODD((256+$M$5)/4)),AND($M$5&gt;=4,ISODD($M$5/4)))),IF($J$5,AND((256+$M$5)&gt;=4,ISODD((256+$M$5)/4)),AND($M$5&gt;=4,ISODD($M$5/4))))*1</f>
        <v>0</v>
      </c>
      <c r="O10" s="62">
        <f>IF($J$4,AND((256+$M$4)&gt;=2,ISODD((256+$M$4)/2)),AND($M$4&gt;=2,ISODD($M$4/2)))*1</f>
        <v>0</v>
      </c>
      <c r="P10" s="62">
        <f>IF($F$5,NOT(IF($J$5,AND((256+$M$5)&gt;=2,ISODD((256+$M$5)/2)),AND($M$5&gt;=2,ISODD($M$5/2)))),IF($J$5,AND((256+$M$5)&gt;=2,ISODD((256+$M$5)/2)),AND($M$5&gt;=2,ISODD($M$5/2))))*1</f>
        <v>0</v>
      </c>
      <c r="Q10" s="64">
        <f>IF($J$4,ISODD(256+$M$4),ISODD($M$4))*1</f>
        <v>0</v>
      </c>
      <c r="R10" s="65">
        <f>IF($F$5,NOT(IF($J$5,ISODD(256+$M$5),ISODD($M$5))),IF($J$5,ISODD(256+$M$5),ISODD($M$5)))*1</f>
        <v>0</v>
      </c>
      <c r="S10" s="33"/>
      <c r="T10" s="60"/>
      <c r="U10" s="60"/>
      <c r="V10" s="59">
        <v>1</v>
      </c>
      <c r="W10" s="59">
        <v>1</v>
      </c>
      <c r="X10" s="8">
        <v>1</v>
      </c>
      <c r="Y10" s="4">
        <v>1</v>
      </c>
      <c r="Z10" s="89">
        <v>1</v>
      </c>
      <c r="AA10" s="59"/>
      <c r="AB10" s="59" t="s">
        <v>157</v>
      </c>
      <c r="AC10" s="59" t="s">
        <v>157</v>
      </c>
    </row>
    <row r="11" spans="1:36" ht="40" customHeight="1">
      <c r="A11" s="24" t="s">
        <v>29</v>
      </c>
      <c r="B11" s="84" t="s">
        <v>42</v>
      </c>
      <c r="C11" s="170"/>
      <c r="D11" s="171"/>
      <c r="E11" s="170"/>
      <c r="F11" s="171"/>
      <c r="G11" s="170"/>
      <c r="H11" s="171"/>
      <c r="I11" s="170"/>
      <c r="J11" s="171"/>
      <c r="K11" s="170"/>
      <c r="L11" s="171"/>
      <c r="M11" s="170"/>
      <c r="N11" s="171"/>
      <c r="O11" s="172" t="s">
        <v>145</v>
      </c>
      <c r="P11" s="173"/>
      <c r="Q11" s="174" t="s">
        <v>144</v>
      </c>
      <c r="R11" s="175"/>
      <c r="S11" s="97">
        <f>F5</f>
        <v>0</v>
      </c>
      <c r="T11" s="98" t="s">
        <v>118</v>
      </c>
    </row>
    <row r="12" spans="1:36" ht="40" customHeight="1">
      <c r="A12" s="36"/>
      <c r="C12" s="180">
        <f t="shared" ref="C12" si="0">OR(AND(C10,D10,E11),AND(NOT(C11),OR(C10,D10,E11)))*1</f>
        <v>1</v>
      </c>
      <c r="D12" s="179"/>
      <c r="E12" s="181">
        <f t="shared" ref="E12" si="1">OR(AND(E10,F10,G11),AND(NOT(E11),OR(E10,F10,G11)))*1</f>
        <v>0</v>
      </c>
      <c r="F12" s="177"/>
      <c r="G12" s="182">
        <f t="shared" ref="G12" si="2">OR(AND(G10,H10,I11),AND(NOT(G11),OR(G10,H10,I11)))*1</f>
        <v>0</v>
      </c>
      <c r="H12" s="179"/>
      <c r="I12" s="181">
        <f t="shared" ref="I12" si="3">OR(AND(I10,J10,K11),AND(NOT(I11),OR(I10,J10,K11)))*1</f>
        <v>1</v>
      </c>
      <c r="J12" s="177"/>
      <c r="K12" s="182">
        <f t="shared" ref="K12" si="4">OR(AND(K10,L10,M11),AND(NOT(K11),OR(K10,L10,M11)))*1</f>
        <v>1</v>
      </c>
      <c r="L12" s="179"/>
      <c r="M12" s="181">
        <f t="shared" ref="M12" si="5">OR(AND(M10,N10,O11),AND(NOT(M11),OR(M10,N10,O11)))*1</f>
        <v>1</v>
      </c>
      <c r="N12" s="177"/>
      <c r="O12" s="182" t="e">
        <f>OR(AND(O10,P10,Q11),AND(NOT(O11),OR(O10,P10,Q11)))*1</f>
        <v>#VALUE!</v>
      </c>
      <c r="P12" s="179"/>
      <c r="Q12" s="181" t="e">
        <f>OR(AND(Q10,R10,S11),AND(NOT(Q11),OR(Q10,R10,S11)))*1</f>
        <v>#VALUE!</v>
      </c>
      <c r="R12" s="177"/>
      <c r="S12" s="34" t="s">
        <v>45</v>
      </c>
      <c r="U12" s="35"/>
    </row>
    <row r="13" spans="1:36" ht="16" customHeight="1">
      <c r="A13" s="37"/>
      <c r="C13" s="178" t="s">
        <v>46</v>
      </c>
      <c r="D13" s="179"/>
      <c r="E13" s="176" t="s">
        <v>32</v>
      </c>
      <c r="F13" s="177"/>
      <c r="G13" s="180" t="s">
        <v>33</v>
      </c>
      <c r="H13" s="179"/>
      <c r="I13" s="176" t="s">
        <v>34</v>
      </c>
      <c r="J13" s="177"/>
      <c r="K13" s="180" t="s">
        <v>35</v>
      </c>
      <c r="L13" s="179"/>
      <c r="M13" s="176" t="s">
        <v>36</v>
      </c>
      <c r="N13" s="177"/>
      <c r="O13" s="180" t="s">
        <v>37</v>
      </c>
      <c r="P13" s="179"/>
      <c r="Q13" s="176" t="s">
        <v>31</v>
      </c>
      <c r="R13" s="183"/>
      <c r="S13" s="37"/>
      <c r="T13" s="13"/>
      <c r="U13" s="35"/>
    </row>
    <row r="14" spans="1:36" ht="16" customHeight="1" thickBot="1">
      <c r="A14" s="37"/>
      <c r="C14" s="159" t="s">
        <v>41</v>
      </c>
      <c r="D14" s="160"/>
      <c r="E14" s="161" t="s">
        <v>41</v>
      </c>
      <c r="F14" s="162"/>
      <c r="G14" s="163" t="s">
        <v>41</v>
      </c>
      <c r="H14" s="160"/>
      <c r="I14" s="161" t="s">
        <v>41</v>
      </c>
      <c r="J14" s="162"/>
      <c r="K14" s="163" t="s">
        <v>41</v>
      </c>
      <c r="L14" s="160"/>
      <c r="M14" s="161" t="s">
        <v>41</v>
      </c>
      <c r="N14" s="162"/>
      <c r="O14" s="163" t="s">
        <v>41</v>
      </c>
      <c r="P14" s="160"/>
      <c r="Q14" s="161" t="s">
        <v>41</v>
      </c>
      <c r="R14" s="164"/>
      <c r="S14" s="25"/>
      <c r="T14" s="25"/>
      <c r="U14" s="28"/>
    </row>
    <row r="15" spans="1:36" s="17" customFormat="1" ht="16" customHeight="1">
      <c r="C15" s="153" t="s">
        <v>146</v>
      </c>
      <c r="D15" s="153"/>
      <c r="U15" s="40"/>
      <c r="V15" s="35"/>
      <c r="AI15"/>
    </row>
    <row r="16" spans="1:36" s="17" customFormat="1" ht="16" customHeight="1">
      <c r="C16" s="153"/>
      <c r="D16" s="153"/>
      <c r="U16" s="40"/>
      <c r="V16" s="82"/>
      <c r="AI16"/>
    </row>
    <row r="17" spans="1:23">
      <c r="C17" t="s">
        <v>40</v>
      </c>
      <c r="D17" t="s">
        <v>125</v>
      </c>
      <c r="Q17" s="14"/>
      <c r="R17" s="14"/>
      <c r="S17" s="14"/>
      <c r="T17" s="14"/>
      <c r="U17" s="14"/>
      <c r="V17" s="10"/>
      <c r="W17" s="10"/>
    </row>
    <row r="18" spans="1:23">
      <c r="A18" s="2"/>
      <c r="B18" s="2"/>
      <c r="D18" t="s">
        <v>126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23">
      <c r="A19" s="2"/>
      <c r="B19" s="2"/>
      <c r="C19" t="s">
        <v>110</v>
      </c>
      <c r="D19" t="s">
        <v>141</v>
      </c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23" ht="15" customHeight="1">
      <c r="A20" s="2"/>
      <c r="B20" s="2"/>
      <c r="C20" t="s">
        <v>111</v>
      </c>
      <c r="D20" t="s">
        <v>142</v>
      </c>
      <c r="E20" s="2"/>
      <c r="F20" s="2"/>
      <c r="G20" s="2"/>
      <c r="H20" s="2"/>
      <c r="I20" s="10"/>
      <c r="J20" s="2"/>
      <c r="K20" s="2"/>
      <c r="L20" s="2"/>
      <c r="M20" s="2"/>
      <c r="N20" s="2"/>
      <c r="O20" s="2"/>
    </row>
    <row r="21" spans="1:23" ht="15" thickBot="1"/>
    <row r="22" spans="1:23" ht="20">
      <c r="B22" s="25"/>
      <c r="C22" s="53" t="s">
        <v>41</v>
      </c>
      <c r="D22" s="54" t="s">
        <v>41</v>
      </c>
      <c r="E22" s="26" t="s">
        <v>41</v>
      </c>
      <c r="F22" s="26" t="s">
        <v>41</v>
      </c>
      <c r="G22" s="54" t="s">
        <v>41</v>
      </c>
      <c r="H22" s="54" t="s">
        <v>41</v>
      </c>
      <c r="I22" s="26" t="s">
        <v>41</v>
      </c>
      <c r="J22" s="26" t="s">
        <v>41</v>
      </c>
      <c r="K22" s="54" t="s">
        <v>41</v>
      </c>
      <c r="L22" s="54" t="s">
        <v>41</v>
      </c>
      <c r="M22" s="26" t="s">
        <v>41</v>
      </c>
      <c r="N22" s="26" t="s">
        <v>41</v>
      </c>
      <c r="O22" s="54" t="s">
        <v>41</v>
      </c>
      <c r="P22" s="54" t="s">
        <v>41</v>
      </c>
      <c r="Q22" s="26" t="s">
        <v>41</v>
      </c>
      <c r="R22" s="27" t="s">
        <v>41</v>
      </c>
      <c r="S22" s="24"/>
      <c r="T22" s="25"/>
    </row>
    <row r="23" spans="1:23" ht="15">
      <c r="C23" s="55" t="s">
        <v>43</v>
      </c>
      <c r="D23" s="56" t="s">
        <v>44</v>
      </c>
      <c r="E23" s="31" t="s">
        <v>6</v>
      </c>
      <c r="F23" s="31" t="s">
        <v>7</v>
      </c>
      <c r="G23" s="56" t="s">
        <v>8</v>
      </c>
      <c r="H23" s="56" t="s">
        <v>9</v>
      </c>
      <c r="I23" s="31" t="s">
        <v>10</v>
      </c>
      <c r="J23" s="31" t="s">
        <v>11</v>
      </c>
      <c r="K23" s="56" t="s">
        <v>12</v>
      </c>
      <c r="L23" s="56" t="s">
        <v>13</v>
      </c>
      <c r="M23" s="31" t="s">
        <v>14</v>
      </c>
      <c r="N23" s="31" t="s">
        <v>15</v>
      </c>
      <c r="O23" s="56" t="s">
        <v>16</v>
      </c>
      <c r="P23" s="56" t="s">
        <v>17</v>
      </c>
      <c r="Q23" s="31" t="s">
        <v>18</v>
      </c>
      <c r="R23" s="32" t="s">
        <v>19</v>
      </c>
      <c r="S23" s="33"/>
      <c r="T23" s="60"/>
    </row>
    <row r="24" spans="1:23" ht="16" thickBot="1">
      <c r="C24" s="92">
        <f>IF($M$4&gt;=0,0,1)</f>
        <v>1</v>
      </c>
      <c r="D24" s="93">
        <f>IF($F$5,NOT(J19),J19)*1</f>
        <v>0</v>
      </c>
      <c r="E24" s="94">
        <f>IF($J$4,AND((256+$M$4)&gt;=64,ISODD((256+$M$4)/64)),AND($M$4&gt;=64,ISODD($M$4/64)))*1</f>
        <v>0</v>
      </c>
      <c r="F24" s="95">
        <f>IF($F$5,NOT(IF($J$5,AND((256+$M$5)&gt;=64,ISODD((256+$M$5)/64)),AND($M$5&gt;=64,ISODD($M$5/64)))),IF($J$5,AND((256+$M$5)&gt;=64,ISODD((256+$M$5)/64)),AND($M$5&gt;=64,ISODD($M$5/64))))*1</f>
        <v>0</v>
      </c>
      <c r="G24" s="93">
        <f>IF($J$4,AND((256+$M$4)&gt;=32,ISODD((256+$M$4)/32)),AND($M$4&gt;=32,ISODD($M$4/32)))*1</f>
        <v>0</v>
      </c>
      <c r="H24" s="93">
        <f>IF($F$5,NOT(IF($J$5,AND((256+$M$5)&gt;=32,ISODD((256+$M$5)/32)),AND($M$5&gt;=32,ISODD($M$5/32)))),IF($J$5,AND((256+$M$5)&gt;=32,ISODD((256+$M$5)/32)),AND($M$5&gt;=32,ISODD($M$5/32))))*1</f>
        <v>0</v>
      </c>
      <c r="I24" s="94">
        <f>IF($J$4,AND((256+$M$4)&gt;=16,ISODD((256+$M$4)/16)),AND($M$4&gt;=16,ISODD($M$4/16)))*1</f>
        <v>1</v>
      </c>
      <c r="J24" s="95">
        <f>IF($F$5,NOT(IF($J$5,AND((256+$M$5)&gt;=16,ISODD((256+$M$5)/16)),AND($M$5&gt;=16,ISODD($M$5/16)))),IF($J$5,AND((256+$M$5)&gt;=16,ISODD((256+$M$5)/16)),AND($M$5&gt;=16,ISODD($M$5/16))))*1</f>
        <v>0</v>
      </c>
      <c r="K24" s="93">
        <f>IF($J$4,AND((256+$M$4)&gt;=8,ISODD((256+$M$4)/8)),AND($M$4&gt;=8,ISODD($M$4/8)))*1</f>
        <v>1</v>
      </c>
      <c r="L24" s="93">
        <f>IF($F$5,NOT(IF($J$5,AND((256+$M$5)&gt;=8,ISODD((256+$M$5)/8)),AND($M$5&gt;=8,ISODD($M$5/8)))),IF($J$5,AND((256+$M$5)&gt;=8,ISODD((256+$M$5)/8)),AND($M$5&gt;=8,ISODD($M$5/8))))*1</f>
        <v>1</v>
      </c>
      <c r="M24" s="94">
        <f>IF($J$4,AND((256+$M$4)&gt;=4,ISODD((256+$M$4)/4)),AND($M$4&gt;=4,ISODD($M$4/4)))*1</f>
        <v>1</v>
      </c>
      <c r="N24" s="95">
        <f>IF($F$5,NOT(IF($J$5,AND((256+$M$5)&gt;=4,ISODD((256+$M$5)/4)),AND($M$5&gt;=4,ISODD($M$5/4)))),IF($J$5,AND((256+$M$5)&gt;=4,ISODD((256+$M$5)/4)),AND($M$5&gt;=4,ISODD($M$5/4))))*1</f>
        <v>0</v>
      </c>
      <c r="O24" s="93">
        <f>IF($J$4,AND((256+$M$4)&gt;=2,ISODD((256+$M$4)/2)),AND($M$4&gt;=2,ISODD($M$4/2)))*1</f>
        <v>0</v>
      </c>
      <c r="P24" s="93">
        <f>IF($F$5,NOT(IF($J$5,AND((256+$M$5)&gt;=2,ISODD((256+$M$5)/2)),AND($M$5&gt;=2,ISODD($M$5/2)))),IF($J$5,AND((256+$M$5)&gt;=2,ISODD((256+$M$5)/2)),AND($M$5&gt;=2,ISODD($M$5/2))))*1</f>
        <v>0</v>
      </c>
      <c r="Q24" s="94">
        <f>IF($J$4,ISODD(256+$M$4),ISODD($M$4))*1</f>
        <v>0</v>
      </c>
      <c r="R24" s="96">
        <f>IF($F$5,NOT(IF($J$5,ISODD(256+$M$5),ISODD($M$5))),IF($J$5,ISODD(256+$M$5),ISODD($M$5)))*1</f>
        <v>0</v>
      </c>
      <c r="S24" s="33"/>
      <c r="T24" s="60"/>
    </row>
    <row r="25" spans="1:23" ht="40" customHeight="1" thickTop="1" thickBot="1">
      <c r="A25" s="24" t="s">
        <v>29</v>
      </c>
      <c r="B25" s="100" t="s">
        <v>42</v>
      </c>
      <c r="C25" s="166" t="s">
        <v>140</v>
      </c>
      <c r="D25" s="167"/>
      <c r="E25" s="166" t="s">
        <v>140</v>
      </c>
      <c r="F25" s="167"/>
      <c r="G25" s="166" t="s">
        <v>140</v>
      </c>
      <c r="H25" s="167"/>
      <c r="I25" s="166" t="s">
        <v>140</v>
      </c>
      <c r="J25" s="167"/>
      <c r="K25" s="166" t="s">
        <v>140</v>
      </c>
      <c r="L25" s="167"/>
      <c r="M25" s="166" t="s">
        <v>140</v>
      </c>
      <c r="N25" s="167"/>
      <c r="O25" s="166" t="s">
        <v>140</v>
      </c>
      <c r="P25" s="167"/>
      <c r="Q25" s="166" t="s">
        <v>140</v>
      </c>
      <c r="R25" s="167"/>
      <c r="S25" s="99"/>
      <c r="T25" s="98" t="s">
        <v>118</v>
      </c>
      <c r="V25" s="60" t="s">
        <v>143</v>
      </c>
    </row>
    <row r="26" spans="1:23" ht="40" customHeight="1" thickTop="1" thickBot="1">
      <c r="C26" s="168" t="s">
        <v>45</v>
      </c>
      <c r="D26" s="168"/>
      <c r="E26" s="169" t="s">
        <v>45</v>
      </c>
      <c r="F26" s="169"/>
      <c r="G26" s="168" t="s">
        <v>45</v>
      </c>
      <c r="H26" s="168"/>
      <c r="I26" s="169" t="s">
        <v>45</v>
      </c>
      <c r="J26" s="169"/>
      <c r="K26" s="168" t="s">
        <v>45</v>
      </c>
      <c r="L26" s="168"/>
      <c r="M26" s="169" t="s">
        <v>45</v>
      </c>
      <c r="N26" s="169"/>
      <c r="O26" s="168" t="s">
        <v>45</v>
      </c>
      <c r="P26" s="168"/>
      <c r="Q26" s="169" t="s">
        <v>45</v>
      </c>
      <c r="R26" s="169"/>
      <c r="S26" s="60"/>
      <c r="V26" s="60" t="s">
        <v>143</v>
      </c>
    </row>
    <row r="27" spans="1:23" ht="25" customHeight="1" thickTop="1">
      <c r="C27" s="165" t="s">
        <v>46</v>
      </c>
      <c r="D27" s="157"/>
      <c r="E27" s="154" t="s">
        <v>32</v>
      </c>
      <c r="F27" s="155"/>
      <c r="G27" s="156" t="s">
        <v>33</v>
      </c>
      <c r="H27" s="157"/>
      <c r="I27" s="154" t="s">
        <v>34</v>
      </c>
      <c r="J27" s="155"/>
      <c r="K27" s="156" t="s">
        <v>35</v>
      </c>
      <c r="L27" s="157"/>
      <c r="M27" s="154" t="s">
        <v>36</v>
      </c>
      <c r="N27" s="155"/>
      <c r="O27" s="156" t="s">
        <v>37</v>
      </c>
      <c r="P27" s="157"/>
      <c r="Q27" s="154" t="s">
        <v>31</v>
      </c>
      <c r="R27" s="158"/>
      <c r="S27" s="37"/>
      <c r="T27" s="59"/>
    </row>
    <row r="28" spans="1:23" ht="21" thickBot="1">
      <c r="C28" s="159" t="s">
        <v>41</v>
      </c>
      <c r="D28" s="160"/>
      <c r="E28" s="161" t="s">
        <v>41</v>
      </c>
      <c r="F28" s="162"/>
      <c r="G28" s="163" t="s">
        <v>41</v>
      </c>
      <c r="H28" s="160"/>
      <c r="I28" s="161" t="s">
        <v>41</v>
      </c>
      <c r="J28" s="162"/>
      <c r="K28" s="163" t="s">
        <v>41</v>
      </c>
      <c r="L28" s="160"/>
      <c r="M28" s="161" t="s">
        <v>41</v>
      </c>
      <c r="N28" s="162"/>
      <c r="O28" s="163" t="s">
        <v>41</v>
      </c>
      <c r="P28" s="160"/>
      <c r="Q28" s="161" t="s">
        <v>41</v>
      </c>
      <c r="R28" s="164"/>
      <c r="S28" s="25"/>
      <c r="T28" s="25"/>
    </row>
    <row r="31" spans="1:23">
      <c r="D31" s="41"/>
    </row>
  </sheetData>
  <mergeCells count="65">
    <mergeCell ref="C14:D14"/>
    <mergeCell ref="E14:F14"/>
    <mergeCell ref="G14:H14"/>
    <mergeCell ref="I14:J14"/>
    <mergeCell ref="K14:L14"/>
    <mergeCell ref="C11:D11"/>
    <mergeCell ref="E11:F11"/>
    <mergeCell ref="G11:H11"/>
    <mergeCell ref="I11:J11"/>
    <mergeCell ref="K11:L11"/>
    <mergeCell ref="C12:D12"/>
    <mergeCell ref="E12:F12"/>
    <mergeCell ref="G12:H12"/>
    <mergeCell ref="I12:J12"/>
    <mergeCell ref="K12:L12"/>
    <mergeCell ref="C13:D13"/>
    <mergeCell ref="E13:F13"/>
    <mergeCell ref="G13:H13"/>
    <mergeCell ref="I13:J13"/>
    <mergeCell ref="K13:L13"/>
    <mergeCell ref="K25:L25"/>
    <mergeCell ref="M11:N11"/>
    <mergeCell ref="O11:P11"/>
    <mergeCell ref="Q11:R11"/>
    <mergeCell ref="M14:N14"/>
    <mergeCell ref="O14:P14"/>
    <mergeCell ref="Q14:R14"/>
    <mergeCell ref="M13:N13"/>
    <mergeCell ref="O13:P13"/>
    <mergeCell ref="Q13:R13"/>
    <mergeCell ref="M12:N12"/>
    <mergeCell ref="O12:P12"/>
    <mergeCell ref="Q12:R12"/>
    <mergeCell ref="K27:L27"/>
    <mergeCell ref="M25:N25"/>
    <mergeCell ref="O25:P25"/>
    <mergeCell ref="Q25:R25"/>
    <mergeCell ref="C26:D26"/>
    <mergeCell ref="E26:F26"/>
    <mergeCell ref="G26:H26"/>
    <mergeCell ref="I26:J26"/>
    <mergeCell ref="K26:L26"/>
    <mergeCell ref="M26:N26"/>
    <mergeCell ref="O26:P26"/>
    <mergeCell ref="Q26:R26"/>
    <mergeCell ref="C25:D25"/>
    <mergeCell ref="E25:F25"/>
    <mergeCell ref="G25:H25"/>
    <mergeCell ref="I25:J25"/>
    <mergeCell ref="C15:D16"/>
    <mergeCell ref="M27:N27"/>
    <mergeCell ref="O27:P27"/>
    <mergeCell ref="Q27:R27"/>
    <mergeCell ref="C28:D28"/>
    <mergeCell ref="E28:F28"/>
    <mergeCell ref="G28:H28"/>
    <mergeCell ref="I28:J28"/>
    <mergeCell ref="K28:L28"/>
    <mergeCell ref="M28:N28"/>
    <mergeCell ref="O28:P28"/>
    <mergeCell ref="Q28:R28"/>
    <mergeCell ref="C27:D27"/>
    <mergeCell ref="E27:F27"/>
    <mergeCell ref="G27:H27"/>
    <mergeCell ref="I27:J27"/>
  </mergeCells>
  <conditionalFormatting sqref="N7">
    <cfRule type="containsText" dxfId="46" priority="24" operator="containsText" text="NO">
      <formula>NOT(ISERROR(SEARCH("NO",N7)))</formula>
    </cfRule>
    <cfRule type="containsText" dxfId="45" priority="25" operator="containsText" text="YES">
      <formula>NOT(ISERROR(SEARCH("YES",N7)))</formula>
    </cfRule>
  </conditionalFormatting>
  <conditionalFormatting sqref="R7">
    <cfRule type="containsText" dxfId="44" priority="22" operator="containsText" text="NO">
      <formula>NOT(ISERROR(SEARCH("NO",R7)))</formula>
    </cfRule>
    <cfRule type="containsText" dxfId="43" priority="23" operator="containsText" text="YES">
      <formula>NOT(ISERROR(SEARCH("YES",R7)))</formula>
    </cfRule>
  </conditionalFormatting>
  <conditionalFormatting sqref="M4:M5">
    <cfRule type="cellIs" dxfId="42" priority="21" operator="notBetween">
      <formula>-127</formula>
      <formula>127</formula>
    </cfRule>
  </conditionalFormatting>
  <pageMargins left="0.7" right="0.7" top="0.75" bottom="0.75" header="0.3" footer="0.3"/>
  <pageSetup paperSize="9" orientation="portrait"/>
  <ignoredErrors>
    <ignoredError sqref="Q12" evalError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workbookViewId="0">
      <selection activeCell="Q16" sqref="C16:R16"/>
    </sheetView>
  </sheetViews>
  <sheetFormatPr baseColWidth="10" defaultColWidth="8.83203125" defaultRowHeight="14" x14ac:dyDescent="0"/>
  <cols>
    <col min="1" max="16" width="5.33203125" customWidth="1"/>
    <col min="17" max="17" width="5.33203125" style="83" customWidth="1"/>
    <col min="18" max="20" width="5.33203125" customWidth="1"/>
    <col min="22" max="22" width="8.83203125" style="83"/>
    <col min="24" max="24" width="5.83203125" customWidth="1"/>
    <col min="25" max="25" width="17.83203125" bestFit="1" customWidth="1"/>
    <col min="26" max="30" width="5.6640625" customWidth="1"/>
  </cols>
  <sheetData>
    <row r="1" spans="1:30">
      <c r="A1" t="s">
        <v>147</v>
      </c>
      <c r="O1" s="5"/>
      <c r="P1" s="3"/>
      <c r="T1" s="9"/>
      <c r="U1" s="11" t="s">
        <v>39</v>
      </c>
    </row>
    <row r="2" spans="1:30" ht="15" thickBot="1">
      <c r="A2" t="s">
        <v>148</v>
      </c>
      <c r="L2" s="10"/>
      <c r="S2" s="118" t="s">
        <v>173</v>
      </c>
      <c r="U2" s="6" t="s">
        <v>25</v>
      </c>
      <c r="V2" s="6" t="s">
        <v>26</v>
      </c>
      <c r="W2" s="7" t="s">
        <v>27</v>
      </c>
      <c r="X2" s="6" t="s">
        <v>29</v>
      </c>
      <c r="Y2" s="102" t="s">
        <v>117</v>
      </c>
      <c r="Z2" s="6" t="s">
        <v>49</v>
      </c>
      <c r="AA2" s="6" t="s">
        <v>48</v>
      </c>
      <c r="AB2" s="6" t="s">
        <v>29</v>
      </c>
      <c r="AC2" s="6" t="s">
        <v>30</v>
      </c>
      <c r="AD2" s="103" t="s">
        <v>30</v>
      </c>
    </row>
    <row r="3" spans="1:30">
      <c r="L3" s="10"/>
      <c r="U3" s="59">
        <v>0</v>
      </c>
      <c r="V3" s="59">
        <v>0</v>
      </c>
      <c r="W3" s="8">
        <v>0</v>
      </c>
      <c r="X3" s="4">
        <v>0</v>
      </c>
      <c r="Y3" s="83" t="s">
        <v>150</v>
      </c>
      <c r="Z3" s="59">
        <f>_xlfn.BITXOR(U3,V3)</f>
        <v>0</v>
      </c>
      <c r="AA3" s="59">
        <f t="shared" ref="AA3:AA10" si="0">A0*B0</f>
        <v>0</v>
      </c>
      <c r="AB3" s="59">
        <f t="shared" ref="AB3:AB10" si="1">G0+P0*CIN0</f>
        <v>0</v>
      </c>
      <c r="AC3" s="59">
        <v>0</v>
      </c>
      <c r="AD3" s="83">
        <f t="shared" ref="AD3:AD10" si="2">_xlfn.BITXOR(P0,CIN0)</f>
        <v>0</v>
      </c>
    </row>
    <row r="4" spans="1:30">
      <c r="Q4"/>
      <c r="U4" s="59">
        <v>0</v>
      </c>
      <c r="V4" s="59">
        <v>0</v>
      </c>
      <c r="W4" s="8">
        <v>1</v>
      </c>
      <c r="X4" s="4">
        <v>0</v>
      </c>
      <c r="Y4" s="83" t="s">
        <v>150</v>
      </c>
      <c r="Z4" s="59">
        <f t="shared" ref="Z4:Z10" si="3">_xlfn.BITXOR(U4,V4)</f>
        <v>0</v>
      </c>
      <c r="AA4" s="59">
        <f t="shared" si="0"/>
        <v>0</v>
      </c>
      <c r="AB4" s="59">
        <f t="shared" si="1"/>
        <v>0</v>
      </c>
      <c r="AC4" s="59">
        <v>1</v>
      </c>
      <c r="AD4" s="83">
        <f t="shared" si="2"/>
        <v>1</v>
      </c>
    </row>
    <row r="5" spans="1:30" ht="15">
      <c r="B5" s="17"/>
      <c r="C5" s="17" t="s">
        <v>38</v>
      </c>
      <c r="D5" s="17"/>
      <c r="E5" s="17"/>
      <c r="F5" s="17"/>
      <c r="G5" s="17"/>
      <c r="H5" s="18" t="s">
        <v>0</v>
      </c>
      <c r="I5" s="19"/>
      <c r="J5" s="74">
        <f>IF($M$5&gt;=0,0,1)</f>
        <v>0</v>
      </c>
      <c r="K5" s="42"/>
      <c r="L5" s="19" t="s">
        <v>1</v>
      </c>
      <c r="M5" s="20">
        <v>125</v>
      </c>
      <c r="N5" s="21" t="s">
        <v>24</v>
      </c>
      <c r="O5" s="21" t="s">
        <v>22</v>
      </c>
      <c r="P5" s="17"/>
      <c r="Q5" s="17"/>
      <c r="R5" s="17"/>
      <c r="U5" s="59">
        <v>0</v>
      </c>
      <c r="V5" s="59">
        <v>1</v>
      </c>
      <c r="W5" s="8">
        <v>0</v>
      </c>
      <c r="X5" s="4">
        <v>0</v>
      </c>
      <c r="Y5" s="83" t="s">
        <v>149</v>
      </c>
      <c r="Z5" s="59">
        <f t="shared" si="3"/>
        <v>1</v>
      </c>
      <c r="AA5" s="59">
        <f t="shared" si="0"/>
        <v>0</v>
      </c>
      <c r="AB5" s="59">
        <f t="shared" si="1"/>
        <v>0</v>
      </c>
      <c r="AC5" s="59">
        <v>1</v>
      </c>
      <c r="AD5" s="83">
        <f t="shared" si="2"/>
        <v>1</v>
      </c>
    </row>
    <row r="6" spans="1:30" ht="15">
      <c r="B6" s="17"/>
      <c r="C6" s="17" t="s">
        <v>2</v>
      </c>
      <c r="D6" s="17"/>
      <c r="E6" s="17"/>
      <c r="F6" s="22">
        <v>1</v>
      </c>
      <c r="G6" s="17"/>
      <c r="H6" s="18" t="s">
        <v>3</v>
      </c>
      <c r="I6" s="19"/>
      <c r="J6" s="74">
        <f>IF($M$6&gt;=0,0,1)</f>
        <v>0</v>
      </c>
      <c r="K6" s="42"/>
      <c r="L6" s="19" t="s">
        <v>4</v>
      </c>
      <c r="M6" s="20">
        <v>3</v>
      </c>
      <c r="N6" s="21" t="s">
        <v>24</v>
      </c>
      <c r="O6" s="17" t="s">
        <v>23</v>
      </c>
      <c r="P6" s="17"/>
      <c r="Q6" s="17"/>
      <c r="R6" s="17"/>
      <c r="U6" s="59">
        <v>0</v>
      </c>
      <c r="V6" s="59">
        <v>1</v>
      </c>
      <c r="W6" s="8">
        <v>1</v>
      </c>
      <c r="X6" s="4">
        <v>1</v>
      </c>
      <c r="Y6" s="83" t="s">
        <v>149</v>
      </c>
      <c r="Z6" s="59">
        <f t="shared" si="3"/>
        <v>1</v>
      </c>
      <c r="AA6" s="59">
        <f t="shared" si="0"/>
        <v>0</v>
      </c>
      <c r="AB6" s="59">
        <f t="shared" si="1"/>
        <v>1</v>
      </c>
      <c r="AC6" s="59">
        <v>0</v>
      </c>
      <c r="AD6" s="83">
        <f t="shared" si="2"/>
        <v>0</v>
      </c>
    </row>
    <row r="7" spans="1:30" ht="15">
      <c r="B7" s="17"/>
      <c r="C7" s="17"/>
      <c r="D7" s="17"/>
      <c r="E7" s="17"/>
      <c r="F7" s="17"/>
      <c r="G7" s="17"/>
      <c r="H7" s="17"/>
      <c r="I7" s="17"/>
      <c r="J7" s="17"/>
      <c r="K7" s="17"/>
      <c r="L7" s="17" t="s">
        <v>5</v>
      </c>
      <c r="M7" s="23">
        <f>IF(F6,M5-M6,M5+M6)</f>
        <v>122</v>
      </c>
      <c r="N7" s="17"/>
      <c r="O7" s="17"/>
      <c r="P7" s="17"/>
      <c r="Q7" s="17"/>
      <c r="R7" s="17"/>
      <c r="U7" s="59">
        <v>1</v>
      </c>
      <c r="V7" s="59">
        <v>0</v>
      </c>
      <c r="W7" s="8">
        <v>0</v>
      </c>
      <c r="X7" s="4">
        <v>0</v>
      </c>
      <c r="Y7" s="83" t="s">
        <v>149</v>
      </c>
      <c r="Z7" s="59">
        <f t="shared" si="3"/>
        <v>1</v>
      </c>
      <c r="AA7" s="59">
        <f t="shared" si="0"/>
        <v>0</v>
      </c>
      <c r="AB7" s="59">
        <f t="shared" si="1"/>
        <v>0</v>
      </c>
      <c r="AC7" s="59">
        <v>1</v>
      </c>
      <c r="AD7" s="83">
        <f t="shared" si="2"/>
        <v>1</v>
      </c>
    </row>
    <row r="8" spans="1:30" ht="16" thickBot="1">
      <c r="B8" s="45" t="s">
        <v>47</v>
      </c>
      <c r="C8" s="45"/>
      <c r="D8" s="45"/>
      <c r="E8" s="45"/>
      <c r="F8" s="45"/>
      <c r="G8" s="45"/>
      <c r="H8" s="45"/>
      <c r="I8" s="38">
        <f>Q17+2*O17+4*M17+8*K17+16*I17+32*G17+64*E17-128*C17</f>
        <v>-128</v>
      </c>
      <c r="J8" s="45" t="s">
        <v>20</v>
      </c>
      <c r="K8" s="45"/>
      <c r="L8" s="45"/>
      <c r="M8" s="45"/>
      <c r="N8" s="39" t="str">
        <f>IF(I8=M7,"YES","NO")</f>
        <v>NO</v>
      </c>
      <c r="O8" s="45" t="s">
        <v>21</v>
      </c>
      <c r="P8" s="45"/>
      <c r="Q8" s="45"/>
      <c r="R8" s="37" t="str">
        <f>IF(C$11&lt;&gt;D$11,"NO",IF(AND(C$11=D$11,C$11=C$17),"NO","YES"))</f>
        <v>NO</v>
      </c>
      <c r="U8" s="59">
        <v>1</v>
      </c>
      <c r="V8" s="59">
        <v>0</v>
      </c>
      <c r="W8" s="8">
        <v>1</v>
      </c>
      <c r="X8" s="4">
        <v>1</v>
      </c>
      <c r="Y8" s="83" t="s">
        <v>149</v>
      </c>
      <c r="Z8" s="59">
        <f t="shared" si="3"/>
        <v>1</v>
      </c>
      <c r="AA8" s="59">
        <f t="shared" si="0"/>
        <v>0</v>
      </c>
      <c r="AB8" s="59">
        <f t="shared" si="1"/>
        <v>1</v>
      </c>
      <c r="AC8" s="59">
        <v>0</v>
      </c>
      <c r="AD8" s="83">
        <f t="shared" si="2"/>
        <v>0</v>
      </c>
    </row>
    <row r="9" spans="1:30" ht="15">
      <c r="C9" s="53" t="s">
        <v>41</v>
      </c>
      <c r="D9" s="54" t="s">
        <v>41</v>
      </c>
      <c r="E9" s="26" t="s">
        <v>41</v>
      </c>
      <c r="F9" s="26" t="s">
        <v>41</v>
      </c>
      <c r="G9" s="54" t="s">
        <v>41</v>
      </c>
      <c r="H9" s="54" t="s">
        <v>41</v>
      </c>
      <c r="I9" s="26" t="s">
        <v>41</v>
      </c>
      <c r="J9" s="26" t="s">
        <v>41</v>
      </c>
      <c r="K9" s="54" t="s">
        <v>41</v>
      </c>
      <c r="L9" s="54" t="s">
        <v>41</v>
      </c>
      <c r="M9" s="26" t="s">
        <v>41</v>
      </c>
      <c r="N9" s="26" t="s">
        <v>41</v>
      </c>
      <c r="O9" s="54" t="s">
        <v>41</v>
      </c>
      <c r="P9" s="54" t="s">
        <v>41</v>
      </c>
      <c r="Q9" s="26" t="s">
        <v>41</v>
      </c>
      <c r="R9" s="27" t="s">
        <v>41</v>
      </c>
      <c r="U9" s="59">
        <v>1</v>
      </c>
      <c r="V9" s="59">
        <v>1</v>
      </c>
      <c r="W9" s="8">
        <v>0</v>
      </c>
      <c r="X9" s="4">
        <v>1</v>
      </c>
      <c r="Y9" s="83" t="s">
        <v>151</v>
      </c>
      <c r="Z9" s="59">
        <f t="shared" si="3"/>
        <v>0</v>
      </c>
      <c r="AA9" s="59">
        <f t="shared" si="0"/>
        <v>1</v>
      </c>
      <c r="AB9" s="59">
        <f t="shared" si="1"/>
        <v>1</v>
      </c>
      <c r="AC9" s="59">
        <v>0</v>
      </c>
      <c r="AD9" s="83">
        <f t="shared" si="2"/>
        <v>0</v>
      </c>
    </row>
    <row r="10" spans="1:30" ht="15">
      <c r="C10" s="55" t="s">
        <v>43</v>
      </c>
      <c r="D10" s="56" t="s">
        <v>44</v>
      </c>
      <c r="E10" s="31" t="s">
        <v>6</v>
      </c>
      <c r="F10" s="31" t="s">
        <v>7</v>
      </c>
      <c r="G10" s="56" t="s">
        <v>8</v>
      </c>
      <c r="H10" s="56" t="s">
        <v>9</v>
      </c>
      <c r="I10" s="31" t="s">
        <v>10</v>
      </c>
      <c r="J10" s="31" t="s">
        <v>11</v>
      </c>
      <c r="K10" s="56" t="s">
        <v>12</v>
      </c>
      <c r="L10" s="56" t="s">
        <v>13</v>
      </c>
      <c r="M10" s="31" t="s">
        <v>14</v>
      </c>
      <c r="N10" s="31" t="s">
        <v>15</v>
      </c>
      <c r="O10" s="56" t="s">
        <v>16</v>
      </c>
      <c r="P10" s="56" t="s">
        <v>17</v>
      </c>
      <c r="Q10" s="31" t="s">
        <v>18</v>
      </c>
      <c r="R10" s="32" t="s">
        <v>19</v>
      </c>
      <c r="U10" s="59">
        <v>1</v>
      </c>
      <c r="V10" s="59">
        <v>1</v>
      </c>
      <c r="W10" s="8">
        <v>1</v>
      </c>
      <c r="X10" s="4">
        <v>1</v>
      </c>
      <c r="Y10" s="83" t="s">
        <v>151</v>
      </c>
      <c r="Z10" s="59">
        <f t="shared" si="3"/>
        <v>0</v>
      </c>
      <c r="AA10" s="59">
        <f t="shared" si="0"/>
        <v>1</v>
      </c>
      <c r="AB10" s="59">
        <f t="shared" si="1"/>
        <v>1</v>
      </c>
      <c r="AC10" s="59">
        <v>1</v>
      </c>
      <c r="AD10" s="83">
        <f t="shared" si="2"/>
        <v>1</v>
      </c>
    </row>
    <row r="11" spans="1:30" ht="16" customHeight="1" thickBot="1">
      <c r="B11" s="25"/>
      <c r="C11" s="104">
        <f>IF($M$5&gt;=0,0,1)</f>
        <v>0</v>
      </c>
      <c r="D11" s="66">
        <f>IF($F$6,NOT(J6),J6)*1</f>
        <v>1</v>
      </c>
      <c r="E11" s="105">
        <f>IF($J$5,AND((256+$M$5)&gt;=64,ISODD((256+$M$5)/64)),AND($M$5&gt;=64,ISODD($M$5/64)))*1</f>
        <v>1</v>
      </c>
      <c r="F11" s="67">
        <f>IF($F$6,NOT(IF($J$6,AND((256+$M$6)&gt;=64,ISODD((256+$M$6)/64)),AND($M$6&gt;=64,ISODD($M$6/64)))),IF($J$6,AND((256+$M$6)&gt;=64,ISODD((256+$M$6)/64)),AND($M$6&gt;=64,ISODD($M$6/64))))*1</f>
        <v>1</v>
      </c>
      <c r="G11" s="66">
        <f>IF($J$5,AND((256+$M$5)&gt;=32,ISODD((256+$M$5)/32)),AND($M$5&gt;=32,ISODD($M$5/32)))*1</f>
        <v>1</v>
      </c>
      <c r="H11" s="66">
        <f>IF($F$6,NOT(IF($J$6,AND((256+$M$6)&gt;=32,ISODD((256+$M$6)/32)),AND($M$6&gt;=32,ISODD($M$6/32)))),IF($J$6,AND((256+$M$6)&gt;=32,ISODD((256+$M$6)/32)),AND($M$6&gt;=32,ISODD($M$6/32))))*1</f>
        <v>1</v>
      </c>
      <c r="I11" s="105">
        <f>IF($J$5,AND((256+$M$5)&gt;=16,ISODD((256+$M$5)/16)),AND($M$5&gt;=16,ISODD($M$5/16)))*1</f>
        <v>1</v>
      </c>
      <c r="J11" s="67">
        <f>IF($F$6,NOT(IF($J$6,AND((256+$M$6)&gt;=16,ISODD((256+$M$6)/16)),AND($M$6&gt;=16,ISODD($M$6/16)))),IF($J$6,AND((256+$M$6)&gt;=16,ISODD((256+$M$6)/16)),AND($M$6&gt;=16,ISODD($M$6/16))))*1</f>
        <v>1</v>
      </c>
      <c r="K11" s="66">
        <f>IF($J$5,AND((256+$M$5)&gt;=8,ISODD((256+$M$5)/8)),AND($M$5&gt;=8,ISODD($M$5/8)))*1</f>
        <v>1</v>
      </c>
      <c r="L11" s="66">
        <f>IF($F$6,NOT(IF($J$6,AND((256+$M$6)&gt;=8,ISODD((256+$M$6)/8)),AND($M$6&gt;=8,ISODD($M$6/8)))),IF($J$6,AND((256+$M$6)&gt;=8,ISODD((256+$M$6)/8)),AND($M$6&gt;=8,ISODD($M$6/8))))*1</f>
        <v>1</v>
      </c>
      <c r="M11" s="105">
        <f>IF($J$5,AND((256+$M$5)&gt;=4,ISODD((256+$M$5)/4)),AND($M$5&gt;=4,ISODD($M$5/4)))*1</f>
        <v>1</v>
      </c>
      <c r="N11" s="67">
        <f>IF($F$6,NOT(IF($J$6,AND((256+$M$6)&gt;=4,ISODD((256+$M$6)/4)),AND($M$6&gt;=4,ISODD($M$6/4)))),IF($J$6,AND((256+$M$6)&gt;=4,ISODD((256+$M$6)/4)),AND($M$6&gt;=4,ISODD($M$6/4))))*1</f>
        <v>1</v>
      </c>
      <c r="O11" s="66">
        <f>IF($J$5,AND((256+$M$5)&gt;=2,ISODD((256+$M$5)/2)),AND($M$5&gt;=2,ISODD($M$5/2)))*1</f>
        <v>0</v>
      </c>
      <c r="P11" s="66">
        <f>IF($F$6,NOT(IF($J$6,AND((256+$M$6)&gt;=2,ISODD((256+$M$6)/2)),AND($M$6&gt;=2,ISODD($M$6/2)))),IF($J$6,AND((256+$M$6)&gt;=2,ISODD((256+$M$6)/2)),AND($M$6&gt;=2,ISODD($M$6/2))))*1</f>
        <v>0</v>
      </c>
      <c r="Q11" s="105">
        <f>IF($J$5,ISODD(256+$M$5),ISODD($M$5))*1</f>
        <v>1</v>
      </c>
      <c r="R11" s="106">
        <f>IF($F$6,NOT(IF($J$6,ISODD(256+$M$6),ISODD($M$6))),IF($J$6,ISODD(256+$M$6),ISODD($M$6)))*1</f>
        <v>0</v>
      </c>
      <c r="S11" s="24"/>
      <c r="T11" s="25"/>
    </row>
    <row r="12" spans="1:30" ht="16" customHeight="1">
      <c r="C12" s="184" t="s">
        <v>155</v>
      </c>
      <c r="D12" s="185"/>
      <c r="E12" s="186" t="s">
        <v>155</v>
      </c>
      <c r="F12" s="187"/>
      <c r="G12" s="184" t="s">
        <v>155</v>
      </c>
      <c r="H12" s="185"/>
      <c r="I12" s="186" t="s">
        <v>155</v>
      </c>
      <c r="J12" s="187"/>
      <c r="K12" s="184" t="s">
        <v>155</v>
      </c>
      <c r="L12" s="185"/>
      <c r="M12" s="186" t="s">
        <v>155</v>
      </c>
      <c r="N12" s="187"/>
      <c r="O12" s="184" t="s">
        <v>155</v>
      </c>
      <c r="P12" s="185"/>
      <c r="Q12" s="186" t="s">
        <v>155</v>
      </c>
      <c r="R12" s="187"/>
      <c r="S12" s="208" t="s">
        <v>42</v>
      </c>
      <c r="T12" s="204" t="s">
        <v>152</v>
      </c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</row>
    <row r="13" spans="1:30" ht="16" customHeight="1">
      <c r="C13" s="107" t="s">
        <v>50</v>
      </c>
      <c r="D13" s="108" t="s">
        <v>51</v>
      </c>
      <c r="E13" s="111" t="s">
        <v>52</v>
      </c>
      <c r="F13" s="112" t="s">
        <v>53</v>
      </c>
      <c r="G13" s="107" t="s">
        <v>54</v>
      </c>
      <c r="H13" s="108" t="s">
        <v>55</v>
      </c>
      <c r="I13" s="111" t="s">
        <v>56</v>
      </c>
      <c r="J13" s="112" t="s">
        <v>57</v>
      </c>
      <c r="K13" s="107" t="s">
        <v>58</v>
      </c>
      <c r="L13" s="108" t="s">
        <v>59</v>
      </c>
      <c r="M13" s="111" t="s">
        <v>60</v>
      </c>
      <c r="N13" s="112" t="s">
        <v>61</v>
      </c>
      <c r="O13" s="107" t="s">
        <v>62</v>
      </c>
      <c r="P13" s="108" t="s">
        <v>63</v>
      </c>
      <c r="Q13" s="111" t="s">
        <v>64</v>
      </c>
      <c r="R13" s="112" t="s">
        <v>65</v>
      </c>
      <c r="S13" s="209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</row>
    <row r="14" spans="1:30" ht="16" customHeight="1" thickBot="1">
      <c r="C14" s="109">
        <f t="shared" ref="C14" si="4">AND(C11,D11)*1</f>
        <v>0</v>
      </c>
      <c r="D14" s="110">
        <f>_xlfn.BITXOR(C11,D11)*1</f>
        <v>1</v>
      </c>
      <c r="E14" s="113">
        <f t="shared" ref="E14" si="5">AND(E11,F11)*1</f>
        <v>1</v>
      </c>
      <c r="F14" s="114">
        <f t="shared" ref="F14" si="6">_xlfn.BITXOR(E11,F11)*1</f>
        <v>0</v>
      </c>
      <c r="G14" s="109">
        <f t="shared" ref="G14" si="7">AND(G11,H11)*1</f>
        <v>1</v>
      </c>
      <c r="H14" s="110">
        <f t="shared" ref="H14" si="8">_xlfn.BITXOR(G11,H11)*1</f>
        <v>0</v>
      </c>
      <c r="I14" s="113">
        <f t="shared" ref="I14" si="9">AND(I11,J11)*1</f>
        <v>1</v>
      </c>
      <c r="J14" s="114">
        <f t="shared" ref="J14" si="10">_xlfn.BITXOR(I11,J11)*1</f>
        <v>0</v>
      </c>
      <c r="K14" s="109">
        <f t="shared" ref="K14" si="11">AND(K11,L11)*1</f>
        <v>1</v>
      </c>
      <c r="L14" s="110">
        <f t="shared" ref="L14" si="12">_xlfn.BITXOR(K11,L11)*1</f>
        <v>0</v>
      </c>
      <c r="M14" s="113">
        <f t="shared" ref="M14" si="13">AND(M11,N11)*1</f>
        <v>1</v>
      </c>
      <c r="N14" s="114">
        <f t="shared" ref="N14" si="14">_xlfn.BITXOR(M11,N11)*1</f>
        <v>0</v>
      </c>
      <c r="O14" s="109">
        <f t="shared" ref="O14" si="15">AND(O11,P11)*1</f>
        <v>0</v>
      </c>
      <c r="P14" s="110">
        <f t="shared" ref="P14" si="16">_xlfn.BITXOR(O11,P11)*1</f>
        <v>0</v>
      </c>
      <c r="Q14" s="113">
        <f>AND(Q11,R11)*1</f>
        <v>0</v>
      </c>
      <c r="R14" s="114">
        <f>_xlfn.BITXOR(Q11,R11)*1</f>
        <v>1</v>
      </c>
      <c r="S14" s="115" t="s">
        <v>42</v>
      </c>
      <c r="T14" s="60" t="s">
        <v>188</v>
      </c>
    </row>
    <row r="15" spans="1:30" ht="16" customHeight="1">
      <c r="C15" s="206" t="s">
        <v>140</v>
      </c>
      <c r="D15" s="207"/>
      <c r="E15" s="206" t="s">
        <v>140</v>
      </c>
      <c r="F15" s="207"/>
      <c r="G15" s="206" t="s">
        <v>140</v>
      </c>
      <c r="H15" s="207"/>
      <c r="I15" s="206" t="s">
        <v>140</v>
      </c>
      <c r="J15" s="207"/>
      <c r="K15" s="206" t="s">
        <v>140</v>
      </c>
      <c r="L15" s="207"/>
      <c r="M15" s="206" t="s">
        <v>140</v>
      </c>
      <c r="N15" s="207"/>
      <c r="O15" s="206" t="s">
        <v>140</v>
      </c>
      <c r="P15" s="207"/>
      <c r="Q15" s="206" t="s">
        <v>140</v>
      </c>
      <c r="R15" s="207"/>
      <c r="S15" s="33"/>
      <c r="T15" s="60"/>
      <c r="V15" s="89"/>
    </row>
    <row r="16" spans="1:30" ht="26" customHeight="1" thickBot="1">
      <c r="A16" s="24" t="s">
        <v>29</v>
      </c>
      <c r="B16" s="100" t="s">
        <v>42</v>
      </c>
      <c r="C16" s="198"/>
      <c r="D16" s="199"/>
      <c r="E16" s="198"/>
      <c r="F16" s="199"/>
      <c r="G16" s="198"/>
      <c r="H16" s="199"/>
      <c r="I16" s="198"/>
      <c r="J16" s="199"/>
      <c r="K16" s="198"/>
      <c r="L16" s="199"/>
      <c r="M16" s="198"/>
      <c r="N16" s="199"/>
      <c r="O16" s="198"/>
      <c r="P16" s="199"/>
      <c r="Q16" s="198"/>
      <c r="R16" s="199"/>
      <c r="S16" s="97">
        <f>F6</f>
        <v>1</v>
      </c>
      <c r="T16" s="98" t="s">
        <v>156</v>
      </c>
      <c r="U16" s="115" t="s">
        <v>42</v>
      </c>
      <c r="V16" s="60" t="s">
        <v>154</v>
      </c>
    </row>
    <row r="17" spans="2:20" ht="26" customHeight="1">
      <c r="C17" s="200">
        <f t="shared" ref="C17" si="17">_xlfn.BITXOR(D14,E16)</f>
        <v>1</v>
      </c>
      <c r="D17" s="201"/>
      <c r="E17" s="202">
        <f t="shared" ref="E17" si="18">_xlfn.BITXOR(F14,G16)</f>
        <v>0</v>
      </c>
      <c r="F17" s="203"/>
      <c r="G17" s="200">
        <f t="shared" ref="G17" si="19">_xlfn.BITXOR(H14,I16)</f>
        <v>0</v>
      </c>
      <c r="H17" s="201"/>
      <c r="I17" s="202">
        <f t="shared" ref="I17" si="20">_xlfn.BITXOR(J14,K16)</f>
        <v>0</v>
      </c>
      <c r="J17" s="203"/>
      <c r="K17" s="200">
        <f t="shared" ref="K17" si="21">_xlfn.BITXOR(L14,M16)</f>
        <v>0</v>
      </c>
      <c r="L17" s="201"/>
      <c r="M17" s="202">
        <f t="shared" ref="M17" si="22">_xlfn.BITXOR(N14,O16)</f>
        <v>0</v>
      </c>
      <c r="N17" s="203"/>
      <c r="O17" s="200">
        <f>_xlfn.BITXOR(P14,Q16)</f>
        <v>0</v>
      </c>
      <c r="P17" s="201"/>
      <c r="Q17" s="202">
        <f>_xlfn.BITXOR(R14,S16)</f>
        <v>0</v>
      </c>
      <c r="R17" s="203"/>
      <c r="S17" s="115" t="s">
        <v>42</v>
      </c>
      <c r="T17" s="60" t="s">
        <v>153</v>
      </c>
    </row>
    <row r="18" spans="2:20" ht="14" customHeight="1" thickBot="1">
      <c r="C18" s="188" t="s">
        <v>46</v>
      </c>
      <c r="D18" s="189"/>
      <c r="E18" s="190" t="s">
        <v>32</v>
      </c>
      <c r="F18" s="191"/>
      <c r="G18" s="188" t="s">
        <v>33</v>
      </c>
      <c r="H18" s="189"/>
      <c r="I18" s="190" t="s">
        <v>34</v>
      </c>
      <c r="J18" s="191"/>
      <c r="K18" s="188" t="s">
        <v>35</v>
      </c>
      <c r="L18" s="189"/>
      <c r="M18" s="190" t="s">
        <v>36</v>
      </c>
      <c r="N18" s="191"/>
      <c r="O18" s="188" t="s">
        <v>37</v>
      </c>
      <c r="P18" s="189"/>
      <c r="Q18" s="190" t="s">
        <v>31</v>
      </c>
      <c r="R18" s="191"/>
      <c r="S18" s="116"/>
      <c r="T18" s="59"/>
    </row>
    <row r="19" spans="2:20" ht="21" thickBot="1">
      <c r="C19" s="192" t="s">
        <v>41</v>
      </c>
      <c r="D19" s="193"/>
      <c r="E19" s="194" t="s">
        <v>41</v>
      </c>
      <c r="F19" s="195"/>
      <c r="G19" s="197" t="s">
        <v>41</v>
      </c>
      <c r="H19" s="193"/>
      <c r="I19" s="194" t="s">
        <v>41</v>
      </c>
      <c r="J19" s="195"/>
      <c r="K19" s="197" t="s">
        <v>41</v>
      </c>
      <c r="L19" s="193"/>
      <c r="M19" s="194" t="s">
        <v>41</v>
      </c>
      <c r="N19" s="195"/>
      <c r="O19" s="197" t="s">
        <v>41</v>
      </c>
      <c r="P19" s="193"/>
      <c r="Q19" s="194" t="s">
        <v>41</v>
      </c>
      <c r="R19" s="196"/>
      <c r="S19" s="117"/>
      <c r="T19" s="25"/>
    </row>
    <row r="20" spans="2:20">
      <c r="S20" s="86"/>
    </row>
    <row r="21" spans="2:20" ht="15" customHeight="1">
      <c r="B21" s="126" t="s">
        <v>174</v>
      </c>
    </row>
    <row r="22" spans="2:20" ht="15" customHeight="1">
      <c r="B22" t="s">
        <v>180</v>
      </c>
    </row>
    <row r="23" spans="2:20">
      <c r="B23" t="s">
        <v>181</v>
      </c>
    </row>
    <row r="24" spans="2:20">
      <c r="B24" t="s">
        <v>175</v>
      </c>
    </row>
    <row r="25" spans="2:20" ht="15" customHeight="1">
      <c r="B25" t="s">
        <v>176</v>
      </c>
    </row>
    <row r="26" spans="2:20" ht="15" customHeight="1">
      <c r="B26" t="s">
        <v>177</v>
      </c>
    </row>
    <row r="27" spans="2:20">
      <c r="B27" t="s">
        <v>182</v>
      </c>
    </row>
    <row r="28" spans="2:20">
      <c r="B28" t="s">
        <v>178</v>
      </c>
    </row>
    <row r="29" spans="2:20">
      <c r="B29" s="9" t="s">
        <v>146</v>
      </c>
    </row>
    <row r="30" spans="2:20">
      <c r="B30" t="s">
        <v>40</v>
      </c>
      <c r="C30" t="s">
        <v>184</v>
      </c>
    </row>
    <row r="31" spans="2:20">
      <c r="B31" t="s">
        <v>110</v>
      </c>
      <c r="C31" t="s">
        <v>183</v>
      </c>
    </row>
    <row r="32" spans="2:20">
      <c r="B32" t="s">
        <v>179</v>
      </c>
      <c r="C32" t="s">
        <v>185</v>
      </c>
    </row>
    <row r="33" spans="2:3">
      <c r="B33" t="s">
        <v>186</v>
      </c>
      <c r="C33" t="s">
        <v>187</v>
      </c>
    </row>
  </sheetData>
  <mergeCells count="50">
    <mergeCell ref="G12:H12"/>
    <mergeCell ref="I12:J12"/>
    <mergeCell ref="K16:L16"/>
    <mergeCell ref="M16:N16"/>
    <mergeCell ref="T12:AD13"/>
    <mergeCell ref="C15:D15"/>
    <mergeCell ref="E15:F15"/>
    <mergeCell ref="G15:H15"/>
    <mergeCell ref="I15:J15"/>
    <mergeCell ref="K15:L15"/>
    <mergeCell ref="M15:N15"/>
    <mergeCell ref="O15:P15"/>
    <mergeCell ref="Q15:R15"/>
    <mergeCell ref="O12:P12"/>
    <mergeCell ref="Q12:R12"/>
    <mergeCell ref="S12:S13"/>
    <mergeCell ref="C12:D12"/>
    <mergeCell ref="E12:F12"/>
    <mergeCell ref="M19:N19"/>
    <mergeCell ref="O19:P19"/>
    <mergeCell ref="O16:P16"/>
    <mergeCell ref="Q16:R16"/>
    <mergeCell ref="C17:D17"/>
    <mergeCell ref="E17:F17"/>
    <mergeCell ref="G17:H17"/>
    <mergeCell ref="I17:J17"/>
    <mergeCell ref="K17:L17"/>
    <mergeCell ref="M17:N17"/>
    <mergeCell ref="O17:P17"/>
    <mergeCell ref="Q17:R17"/>
    <mergeCell ref="C16:D16"/>
    <mergeCell ref="E16:F16"/>
    <mergeCell ref="G16:H16"/>
    <mergeCell ref="I16:J16"/>
    <mergeCell ref="K12:L12"/>
    <mergeCell ref="M12:N12"/>
    <mergeCell ref="O18:P18"/>
    <mergeCell ref="Q18:R18"/>
    <mergeCell ref="C19:D19"/>
    <mergeCell ref="E19:F19"/>
    <mergeCell ref="Q19:R19"/>
    <mergeCell ref="C18:D18"/>
    <mergeCell ref="E18:F18"/>
    <mergeCell ref="G18:H18"/>
    <mergeCell ref="I18:J18"/>
    <mergeCell ref="K18:L18"/>
    <mergeCell ref="M18:N18"/>
    <mergeCell ref="G19:H19"/>
    <mergeCell ref="I19:J19"/>
    <mergeCell ref="K19:L19"/>
  </mergeCells>
  <conditionalFormatting sqref="L2">
    <cfRule type="containsText" dxfId="41" priority="8" operator="containsText" text="NO">
      <formula>NOT(ISERROR(SEARCH("NO",L2)))</formula>
    </cfRule>
    <cfRule type="containsText" dxfId="40" priority="9" operator="containsText" text="YES">
      <formula>NOT(ISERROR(SEARCH("YES",L2)))</formula>
    </cfRule>
  </conditionalFormatting>
  <conditionalFormatting sqref="L3">
    <cfRule type="containsText" dxfId="39" priority="6" operator="containsText" text="NO">
      <formula>NOT(ISERROR(SEARCH("NO",L3)))</formula>
    </cfRule>
    <cfRule type="containsText" dxfId="38" priority="7" operator="containsText" text="YES">
      <formula>NOT(ISERROR(SEARCH("YES",L3)))</formula>
    </cfRule>
  </conditionalFormatting>
  <conditionalFormatting sqref="N8">
    <cfRule type="containsText" dxfId="37" priority="4" operator="containsText" text="NO">
      <formula>NOT(ISERROR(SEARCH("NO",N8)))</formula>
    </cfRule>
    <cfRule type="containsText" dxfId="36" priority="5" operator="containsText" text="YES">
      <formula>NOT(ISERROR(SEARCH("YES",N8)))</formula>
    </cfRule>
  </conditionalFormatting>
  <conditionalFormatting sqref="R8">
    <cfRule type="containsText" dxfId="35" priority="2" operator="containsText" text="NO">
      <formula>NOT(ISERROR(SEARCH("NO",R8)))</formula>
    </cfRule>
    <cfRule type="containsText" dxfId="34" priority="3" operator="containsText" text="YES">
      <formula>NOT(ISERROR(SEARCH("YES",R8)))</formula>
    </cfRule>
  </conditionalFormatting>
  <conditionalFormatting sqref="M5:M6">
    <cfRule type="cellIs" dxfId="33" priority="1" operator="notBetween">
      <formula>-127</formula>
      <formula>127</formula>
    </cfRule>
  </conditionalFormatting>
  <pageMargins left="0.7" right="0.7" top="0.75" bottom="0.75" header="0.3" footer="0.3"/>
  <pageSetup paperSize="9" orientation="portrait" horizontalDpi="0" verticalDpi="0"/>
  <ignoredErrors>
    <ignoredError sqref="D14:K14 L14:R14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workbookViewId="0">
      <selection activeCell="O16" sqref="O16"/>
    </sheetView>
  </sheetViews>
  <sheetFormatPr baseColWidth="10" defaultColWidth="8.83203125" defaultRowHeight="14" x14ac:dyDescent="0"/>
  <cols>
    <col min="1" max="16" width="5.33203125" customWidth="1"/>
    <col min="17" max="17" width="5.33203125" style="89" customWidth="1"/>
    <col min="18" max="20" width="5.33203125" customWidth="1"/>
    <col min="22" max="22" width="8.83203125" style="89"/>
    <col min="24" max="24" width="5.83203125" customWidth="1"/>
    <col min="25" max="25" width="17.83203125" bestFit="1" customWidth="1"/>
    <col min="26" max="30" width="5.6640625" customWidth="1"/>
  </cols>
  <sheetData>
    <row r="1" spans="1:30">
      <c r="A1" t="s">
        <v>147</v>
      </c>
      <c r="O1" s="5"/>
      <c r="P1" s="3"/>
      <c r="T1" s="9"/>
      <c r="U1" s="11"/>
      <c r="V1" s="88"/>
      <c r="W1" s="3"/>
      <c r="X1" s="3"/>
      <c r="Y1" s="3"/>
      <c r="Z1" s="3"/>
      <c r="AA1" s="3"/>
      <c r="AB1" s="3"/>
      <c r="AC1" s="3"/>
      <c r="AD1" s="3"/>
    </row>
    <row r="2" spans="1:30">
      <c r="A2" t="s">
        <v>148</v>
      </c>
      <c r="L2" s="10"/>
      <c r="U2" s="4"/>
      <c r="V2" s="4"/>
      <c r="W2" s="4"/>
      <c r="X2" s="4"/>
      <c r="Y2" s="122"/>
      <c r="Z2" s="4"/>
      <c r="AA2" s="4"/>
      <c r="AB2" s="4"/>
      <c r="AC2" s="4"/>
      <c r="AD2" s="88"/>
    </row>
    <row r="3" spans="1:30">
      <c r="L3" s="10"/>
      <c r="U3" s="4"/>
      <c r="V3" s="4"/>
      <c r="W3" s="4"/>
      <c r="X3" s="4"/>
      <c r="Y3" s="88"/>
      <c r="Z3" s="4"/>
      <c r="AA3" s="4"/>
      <c r="AB3" s="4"/>
      <c r="AC3" s="4"/>
      <c r="AD3" s="88"/>
    </row>
    <row r="4" spans="1:30">
      <c r="Q4"/>
      <c r="U4" s="4"/>
      <c r="V4" s="4"/>
      <c r="W4" s="4"/>
      <c r="X4" s="4"/>
      <c r="Y4" s="88"/>
      <c r="Z4" s="4"/>
      <c r="AA4" s="4"/>
      <c r="AB4" s="4"/>
      <c r="AC4" s="4"/>
      <c r="AD4" s="88"/>
    </row>
    <row r="5" spans="1:30" ht="15">
      <c r="B5" s="17"/>
      <c r="C5" s="17" t="s">
        <v>38</v>
      </c>
      <c r="D5" s="17"/>
      <c r="E5" s="17"/>
      <c r="F5" s="17"/>
      <c r="G5" s="17"/>
      <c r="H5" s="18" t="s">
        <v>0</v>
      </c>
      <c r="I5" s="19"/>
      <c r="J5" s="74">
        <f>IF($M$5&gt;=0,0,1)</f>
        <v>0</v>
      </c>
      <c r="K5" s="42"/>
      <c r="L5" s="19" t="s">
        <v>1</v>
      </c>
      <c r="M5" s="20">
        <v>3</v>
      </c>
      <c r="N5" s="21" t="s">
        <v>24</v>
      </c>
      <c r="O5" s="21" t="s">
        <v>22</v>
      </c>
      <c r="P5" s="17"/>
      <c r="Q5" s="17"/>
      <c r="R5" s="17"/>
      <c r="U5" s="4"/>
      <c r="V5" s="4"/>
      <c r="W5" s="4"/>
      <c r="X5" s="4"/>
      <c r="Y5" s="88"/>
      <c r="Z5" s="4"/>
      <c r="AA5" s="4"/>
      <c r="AB5" s="4"/>
      <c r="AC5" s="4"/>
      <c r="AD5" s="88"/>
    </row>
    <row r="6" spans="1:30" ht="15">
      <c r="B6" s="17"/>
      <c r="C6" s="17" t="s">
        <v>2</v>
      </c>
      <c r="D6" s="17"/>
      <c r="E6" s="17"/>
      <c r="F6" s="22">
        <v>1</v>
      </c>
      <c r="G6" s="17"/>
      <c r="H6" s="18" t="s">
        <v>3</v>
      </c>
      <c r="I6" s="19"/>
      <c r="J6" s="74">
        <f>IF($M$6&gt;=0,0,1)</f>
        <v>0</v>
      </c>
      <c r="K6" s="42"/>
      <c r="L6" s="19" t="s">
        <v>4</v>
      </c>
      <c r="M6" s="20">
        <v>123</v>
      </c>
      <c r="N6" s="21" t="s">
        <v>24</v>
      </c>
      <c r="O6" s="17" t="s">
        <v>23</v>
      </c>
      <c r="P6" s="17"/>
      <c r="Q6" s="17"/>
      <c r="R6" s="17"/>
      <c r="U6" s="4"/>
      <c r="V6" s="4"/>
      <c r="W6" s="4"/>
      <c r="X6" s="4"/>
      <c r="Y6" s="88"/>
      <c r="Z6" s="4"/>
      <c r="AA6" s="4"/>
      <c r="AB6" s="4"/>
      <c r="AC6" s="4"/>
      <c r="AD6" s="88"/>
    </row>
    <row r="7" spans="1:30" ht="15">
      <c r="B7" s="17"/>
      <c r="C7" s="17"/>
      <c r="D7" s="17"/>
      <c r="E7" s="17"/>
      <c r="F7" s="17"/>
      <c r="G7" s="17"/>
      <c r="H7" s="17"/>
      <c r="I7" s="17"/>
      <c r="J7" s="17"/>
      <c r="K7" s="17"/>
      <c r="L7" s="17" t="s">
        <v>5</v>
      </c>
      <c r="M7" s="23">
        <f>IF(F6,M5-M6,M5+M6)</f>
        <v>-120</v>
      </c>
      <c r="N7" s="17"/>
      <c r="O7" s="17"/>
      <c r="P7" s="17"/>
      <c r="Q7" s="17"/>
      <c r="R7" s="17"/>
      <c r="U7" s="4"/>
      <c r="V7" s="4"/>
      <c r="W7" s="4"/>
      <c r="X7" s="4"/>
      <c r="Y7" s="88"/>
      <c r="Z7" s="4"/>
      <c r="AA7" s="4"/>
      <c r="AB7" s="4"/>
      <c r="AC7" s="4"/>
      <c r="AD7" s="88"/>
    </row>
    <row r="8" spans="1:30" ht="16" thickBot="1">
      <c r="B8" s="45" t="s">
        <v>47</v>
      </c>
      <c r="C8" s="45"/>
      <c r="D8" s="45"/>
      <c r="E8" s="45"/>
      <c r="F8" s="45"/>
      <c r="G8" s="45"/>
      <c r="H8" s="45"/>
      <c r="I8" s="38">
        <f>Q17+2*O17+4*M17+8*K17+16*I17+32*G17+64*E17-128*C17</f>
        <v>-122</v>
      </c>
      <c r="J8" s="45" t="s">
        <v>20</v>
      </c>
      <c r="K8" s="45"/>
      <c r="L8" s="45"/>
      <c r="M8" s="45"/>
      <c r="N8" s="39" t="str">
        <f>IF(I8=M7,"YES","NO")</f>
        <v>NO</v>
      </c>
      <c r="O8" s="45" t="s">
        <v>21</v>
      </c>
      <c r="P8" s="45"/>
      <c r="Q8" s="45"/>
      <c r="R8" s="37" t="str">
        <f>IF(C$11&lt;&gt;D$11,"NO",IF(AND(C$11=D$11,C$11=C$17),"NO","YES"))</f>
        <v>NO</v>
      </c>
      <c r="U8" s="4"/>
      <c r="V8" s="4"/>
      <c r="W8" s="4"/>
      <c r="X8" s="4"/>
      <c r="Y8" s="88"/>
      <c r="Z8" s="4"/>
      <c r="AA8" s="4"/>
      <c r="AB8" s="4"/>
      <c r="AC8" s="4"/>
      <c r="AD8" s="88"/>
    </row>
    <row r="9" spans="1:30" ht="15">
      <c r="C9" s="53" t="s">
        <v>41</v>
      </c>
      <c r="D9" s="54" t="s">
        <v>41</v>
      </c>
      <c r="E9" s="26" t="s">
        <v>41</v>
      </c>
      <c r="F9" s="26" t="s">
        <v>41</v>
      </c>
      <c r="G9" s="54" t="s">
        <v>41</v>
      </c>
      <c r="H9" s="54" t="s">
        <v>41</v>
      </c>
      <c r="I9" s="26" t="s">
        <v>41</v>
      </c>
      <c r="J9" s="26" t="s">
        <v>41</v>
      </c>
      <c r="K9" s="54" t="s">
        <v>41</v>
      </c>
      <c r="L9" s="54" t="s">
        <v>41</v>
      </c>
      <c r="M9" s="26" t="s">
        <v>41</v>
      </c>
      <c r="N9" s="26" t="s">
        <v>41</v>
      </c>
      <c r="O9" s="54" t="s">
        <v>41</v>
      </c>
      <c r="P9" s="54" t="s">
        <v>41</v>
      </c>
      <c r="Q9" s="26" t="s">
        <v>41</v>
      </c>
      <c r="R9" s="27" t="s">
        <v>41</v>
      </c>
      <c r="U9" s="4"/>
      <c r="V9" s="4"/>
      <c r="W9" s="4"/>
      <c r="X9" s="4"/>
      <c r="Y9" s="88"/>
      <c r="Z9" s="4"/>
      <c r="AA9" s="4"/>
      <c r="AB9" s="4"/>
      <c r="AC9" s="4"/>
      <c r="AD9" s="88"/>
    </row>
    <row r="10" spans="1:30" ht="15">
      <c r="C10" s="55" t="s">
        <v>43</v>
      </c>
      <c r="D10" s="56" t="s">
        <v>44</v>
      </c>
      <c r="E10" s="31" t="s">
        <v>6</v>
      </c>
      <c r="F10" s="31" t="s">
        <v>7</v>
      </c>
      <c r="G10" s="56" t="s">
        <v>8</v>
      </c>
      <c r="H10" s="56" t="s">
        <v>9</v>
      </c>
      <c r="I10" s="31" t="s">
        <v>10</v>
      </c>
      <c r="J10" s="31" t="s">
        <v>11</v>
      </c>
      <c r="K10" s="56" t="s">
        <v>12</v>
      </c>
      <c r="L10" s="56" t="s">
        <v>13</v>
      </c>
      <c r="M10" s="31" t="s">
        <v>14</v>
      </c>
      <c r="N10" s="31" t="s">
        <v>15</v>
      </c>
      <c r="O10" s="56" t="s">
        <v>16</v>
      </c>
      <c r="P10" s="56" t="s">
        <v>17</v>
      </c>
      <c r="Q10" s="31" t="s">
        <v>18</v>
      </c>
      <c r="R10" s="32" t="s">
        <v>19</v>
      </c>
      <c r="U10" s="4"/>
      <c r="V10" s="4"/>
      <c r="W10" s="4"/>
      <c r="X10" s="4"/>
      <c r="Y10" s="88"/>
      <c r="Z10" s="4"/>
      <c r="AA10" s="4"/>
      <c r="AB10" s="4"/>
      <c r="AC10" s="4"/>
      <c r="AD10" s="88"/>
    </row>
    <row r="11" spans="1:30" ht="16" customHeight="1" thickBot="1">
      <c r="B11" s="25"/>
      <c r="C11" s="104">
        <f>IF($M$5&gt;=0,0,1)</f>
        <v>0</v>
      </c>
      <c r="D11" s="66">
        <f>IF($F$6,NOT(J6),J6)*1</f>
        <v>1</v>
      </c>
      <c r="E11" s="105">
        <f>IF($J$5,AND((256+$M$5)&gt;=64,ISODD((256+$M$5)/64)),AND($M$5&gt;=64,ISODD($M$5/64)))*1</f>
        <v>0</v>
      </c>
      <c r="F11" s="67">
        <f>IF($F$6,NOT(IF($J$6,AND((256+$M$6)&gt;=64,ISODD((256+$M$6)/64)),AND($M$6&gt;=64,ISODD($M$6/64)))),IF($J$6,AND((256+$M$6)&gt;=64,ISODD((256+$M$6)/64)),AND($M$6&gt;=64,ISODD($M$6/64))))*1</f>
        <v>0</v>
      </c>
      <c r="G11" s="66">
        <f>IF($J$5,AND((256+$M$5)&gt;=32,ISODD((256+$M$5)/32)),AND($M$5&gt;=32,ISODD($M$5/32)))*1</f>
        <v>0</v>
      </c>
      <c r="H11" s="66">
        <f>IF($F$6,NOT(IF($J$6,AND((256+$M$6)&gt;=32,ISODD((256+$M$6)/32)),AND($M$6&gt;=32,ISODD($M$6/32)))),IF($J$6,AND((256+$M$6)&gt;=32,ISODD((256+$M$6)/32)),AND($M$6&gt;=32,ISODD($M$6/32))))*1</f>
        <v>0</v>
      </c>
      <c r="I11" s="105">
        <f>IF($J$5,AND((256+$M$5)&gt;=16,ISODD((256+$M$5)/16)),AND($M$5&gt;=16,ISODD($M$5/16)))*1</f>
        <v>0</v>
      </c>
      <c r="J11" s="67">
        <f>IF($F$6,NOT(IF($J$6,AND((256+$M$6)&gt;=16,ISODD((256+$M$6)/16)),AND($M$6&gt;=16,ISODD($M$6/16)))),IF($J$6,AND((256+$M$6)&gt;=16,ISODD((256+$M$6)/16)),AND($M$6&gt;=16,ISODD($M$6/16))))*1</f>
        <v>0</v>
      </c>
      <c r="K11" s="66">
        <f>IF($J$5,AND((256+$M$5)&gt;=8,ISODD((256+$M$5)/8)),AND($M$5&gt;=8,ISODD($M$5/8)))*1</f>
        <v>0</v>
      </c>
      <c r="L11" s="66">
        <f>IF($F$6,NOT(IF($J$6,AND((256+$M$6)&gt;=8,ISODD((256+$M$6)/8)),AND($M$6&gt;=8,ISODD($M$6/8)))),IF($J$6,AND((256+$M$6)&gt;=8,ISODD((256+$M$6)/8)),AND($M$6&gt;=8,ISODD($M$6/8))))*1</f>
        <v>0</v>
      </c>
      <c r="M11" s="105">
        <f>IF($J$5,AND((256+$M$5)&gt;=4,ISODD((256+$M$5)/4)),AND($M$5&gt;=4,ISODD($M$5/4)))*1</f>
        <v>0</v>
      </c>
      <c r="N11" s="67">
        <f>IF($F$6,NOT(IF($J$6,AND((256+$M$6)&gt;=4,ISODD((256+$M$6)/4)),AND($M$6&gt;=4,ISODD($M$6/4)))),IF($J$6,AND((256+$M$6)&gt;=4,ISODD((256+$M$6)/4)),AND($M$6&gt;=4,ISODD($M$6/4))))*1</f>
        <v>1</v>
      </c>
      <c r="O11" s="66">
        <f>IF($J$5,AND((256+$M$5)&gt;=2,ISODD((256+$M$5)/2)),AND($M$5&gt;=2,ISODD($M$5/2)))*1</f>
        <v>1</v>
      </c>
      <c r="P11" s="66">
        <f>IF($F$6,NOT(IF($J$6,AND((256+$M$6)&gt;=2,ISODD((256+$M$6)/2)),AND($M$6&gt;=2,ISODD($M$6/2)))),IF($J$6,AND((256+$M$6)&gt;=2,ISODD((256+$M$6)/2)),AND($M$6&gt;=2,ISODD($M$6/2))))*1</f>
        <v>0</v>
      </c>
      <c r="Q11" s="105">
        <f>IF($J$5,ISODD(256+$M$5),ISODD($M$5))*1</f>
        <v>1</v>
      </c>
      <c r="R11" s="106">
        <f>IF($F$6,NOT(IF($J$6,ISODD(256+$M$6),ISODD($M$6))),IF($J$6,ISODD(256+$M$6),ISODD($M$6)))*1</f>
        <v>0</v>
      </c>
      <c r="S11" s="24"/>
      <c r="T11" s="25"/>
    </row>
    <row r="12" spans="1:30" ht="16" customHeight="1">
      <c r="C12" s="184" t="s">
        <v>155</v>
      </c>
      <c r="D12" s="185"/>
      <c r="E12" s="186" t="s">
        <v>155</v>
      </c>
      <c r="F12" s="187"/>
      <c r="G12" s="184" t="s">
        <v>155</v>
      </c>
      <c r="H12" s="185"/>
      <c r="I12" s="186" t="s">
        <v>155</v>
      </c>
      <c r="J12" s="187"/>
      <c r="K12" s="184" t="s">
        <v>155</v>
      </c>
      <c r="L12" s="185"/>
      <c r="M12" s="186" t="s">
        <v>155</v>
      </c>
      <c r="N12" s="187"/>
      <c r="O12" s="184" t="s">
        <v>155</v>
      </c>
      <c r="P12" s="185"/>
      <c r="Q12" s="186" t="s">
        <v>155</v>
      </c>
      <c r="R12" s="187"/>
      <c r="S12" s="121"/>
      <c r="T12" s="60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</row>
    <row r="13" spans="1:30" ht="16" customHeight="1">
      <c r="C13" s="107" t="s">
        <v>50</v>
      </c>
      <c r="D13" s="108" t="s">
        <v>51</v>
      </c>
      <c r="E13" s="111" t="s">
        <v>52</v>
      </c>
      <c r="F13" s="112" t="s">
        <v>53</v>
      </c>
      <c r="G13" s="107" t="s">
        <v>54</v>
      </c>
      <c r="H13" s="108" t="s">
        <v>55</v>
      </c>
      <c r="I13" s="111" t="s">
        <v>56</v>
      </c>
      <c r="J13" s="112" t="s">
        <v>57</v>
      </c>
      <c r="K13" s="107" t="s">
        <v>58</v>
      </c>
      <c r="L13" s="108" t="s">
        <v>59</v>
      </c>
      <c r="M13" s="111" t="s">
        <v>60</v>
      </c>
      <c r="N13" s="112" t="s">
        <v>61</v>
      </c>
      <c r="O13" s="107" t="s">
        <v>62</v>
      </c>
      <c r="P13" s="108" t="s">
        <v>63</v>
      </c>
      <c r="Q13" s="111" t="s">
        <v>64</v>
      </c>
      <c r="R13" s="112" t="s">
        <v>65</v>
      </c>
      <c r="S13" s="122"/>
      <c r="T13" s="89"/>
      <c r="U13" s="210"/>
      <c r="V13" s="212"/>
      <c r="W13" s="213"/>
      <c r="X13" s="101"/>
      <c r="Y13" s="101"/>
      <c r="Z13" s="101"/>
      <c r="AA13" s="101"/>
      <c r="AB13" s="101"/>
      <c r="AC13" s="101"/>
      <c r="AD13" s="101"/>
    </row>
    <row r="14" spans="1:30" ht="16" customHeight="1" thickBot="1">
      <c r="C14" s="109">
        <f t="shared" ref="C14" si="0">AND(C11,D11)*1</f>
        <v>0</v>
      </c>
      <c r="D14" s="110">
        <f>_xlfn.BITXOR(C11,D11)*1</f>
        <v>1</v>
      </c>
      <c r="E14" s="113">
        <f t="shared" ref="E14" si="1">AND(E11,F11)*1</f>
        <v>0</v>
      </c>
      <c r="F14" s="114">
        <f t="shared" ref="F14" si="2">_xlfn.BITXOR(E11,F11)*1</f>
        <v>0</v>
      </c>
      <c r="G14" s="109">
        <f t="shared" ref="G14" si="3">AND(G11,H11)*1</f>
        <v>0</v>
      </c>
      <c r="H14" s="110">
        <f t="shared" ref="H14" si="4">_xlfn.BITXOR(G11,H11)*1</f>
        <v>0</v>
      </c>
      <c r="I14" s="113">
        <f t="shared" ref="I14" si="5">AND(I11,J11)*1</f>
        <v>0</v>
      </c>
      <c r="J14" s="114">
        <f t="shared" ref="J14" si="6">_xlfn.BITXOR(I11,J11)*1</f>
        <v>0</v>
      </c>
      <c r="K14" s="109">
        <f t="shared" ref="K14" si="7">AND(K11,L11)*1</f>
        <v>0</v>
      </c>
      <c r="L14" s="110">
        <f t="shared" ref="L14" si="8">_xlfn.BITXOR(K11,L11)*1</f>
        <v>0</v>
      </c>
      <c r="M14" s="113">
        <f t="shared" ref="M14" si="9">AND(M11,N11)*1</f>
        <v>0</v>
      </c>
      <c r="N14" s="114">
        <f t="shared" ref="N14" si="10">_xlfn.BITXOR(M11,N11)*1</f>
        <v>1</v>
      </c>
      <c r="O14" s="109">
        <f t="shared" ref="O14" si="11">AND(O11,P11)*1</f>
        <v>0</v>
      </c>
      <c r="P14" s="110">
        <f t="shared" ref="P14" si="12">_xlfn.BITXOR(O11,P11)*1</f>
        <v>1</v>
      </c>
      <c r="Q14" s="131">
        <f>OR(AND(Q11,R11),AND(_xlfn.BITXOR(Q11,R11),$F$6))*1</f>
        <v>1</v>
      </c>
      <c r="R14" s="130">
        <f>_xlfn.BITXOR(Q11,R11)*1</f>
        <v>1</v>
      </c>
      <c r="S14" s="33"/>
      <c r="T14" s="89"/>
      <c r="U14" s="211"/>
      <c r="V14" s="214"/>
      <c r="W14" s="213"/>
    </row>
    <row r="15" spans="1:30" ht="16" customHeight="1">
      <c r="C15" s="125" t="s">
        <v>70</v>
      </c>
      <c r="D15" s="125" t="s">
        <v>69</v>
      </c>
      <c r="E15" s="125" t="s">
        <v>168</v>
      </c>
      <c r="F15" s="125" t="s">
        <v>169</v>
      </c>
      <c r="G15" s="125" t="s">
        <v>170</v>
      </c>
      <c r="H15" s="125" t="s">
        <v>171</v>
      </c>
      <c r="I15" s="125" t="s">
        <v>167</v>
      </c>
      <c r="J15" s="125" t="s">
        <v>166</v>
      </c>
      <c r="K15" s="125" t="s">
        <v>165</v>
      </c>
      <c r="L15" s="125" t="s">
        <v>172</v>
      </c>
      <c r="M15" s="125" t="s">
        <v>164</v>
      </c>
      <c r="N15" s="125" t="s">
        <v>163</v>
      </c>
      <c r="O15" s="125" t="s">
        <v>162</v>
      </c>
      <c r="P15" s="125" t="s">
        <v>161</v>
      </c>
      <c r="Q15" s="123" t="s">
        <v>66</v>
      </c>
      <c r="R15" s="123" t="s">
        <v>139</v>
      </c>
      <c r="S15" s="127" t="s">
        <v>159</v>
      </c>
      <c r="T15" s="91" t="s">
        <v>160</v>
      </c>
    </row>
    <row r="16" spans="1:30" ht="26" customHeight="1" thickBot="1">
      <c r="A16" s="24" t="s">
        <v>29</v>
      </c>
      <c r="B16" s="129" t="s">
        <v>42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82">
        <f>F6</f>
        <v>1</v>
      </c>
      <c r="T16" s="128">
        <f t="shared" ref="T16" si="13">NOT(S16)*1</f>
        <v>0</v>
      </c>
      <c r="U16" s="44" t="s">
        <v>156</v>
      </c>
      <c r="V16" s="60"/>
    </row>
    <row r="17" spans="2:20" ht="26" customHeight="1">
      <c r="C17" s="184">
        <f t="shared" ref="C17" si="14">_xlfn.BITXOR(D14,E16)</f>
        <v>1</v>
      </c>
      <c r="D17" s="185"/>
      <c r="E17" s="186">
        <f t="shared" ref="E17" si="15">_xlfn.BITXOR(F14,G16)</f>
        <v>0</v>
      </c>
      <c r="F17" s="187"/>
      <c r="G17" s="184">
        <f t="shared" ref="G17" si="16">_xlfn.BITXOR(H14,I16)</f>
        <v>0</v>
      </c>
      <c r="H17" s="185"/>
      <c r="I17" s="186">
        <f t="shared" ref="I17" si="17">_xlfn.BITXOR(J14,K16)</f>
        <v>0</v>
      </c>
      <c r="J17" s="187"/>
      <c r="K17" s="184">
        <f t="shared" ref="K17" si="18">_xlfn.BITXOR(L14,M16)</f>
        <v>0</v>
      </c>
      <c r="L17" s="185"/>
      <c r="M17" s="186">
        <f t="shared" ref="M17" si="19">_xlfn.BITXOR(N14,O16)</f>
        <v>1</v>
      </c>
      <c r="N17" s="187"/>
      <c r="O17" s="184">
        <f>_xlfn.BITXOR(P14,Q16)</f>
        <v>1</v>
      </c>
      <c r="P17" s="185"/>
      <c r="Q17" s="186">
        <f>_xlfn.BITXOR(R14,S16)</f>
        <v>0</v>
      </c>
      <c r="R17" s="187"/>
      <c r="S17" s="115" t="s">
        <v>42</v>
      </c>
      <c r="T17" s="60" t="s">
        <v>202</v>
      </c>
    </row>
    <row r="18" spans="2:20" ht="14" customHeight="1" thickBot="1">
      <c r="C18" s="188" t="s">
        <v>46</v>
      </c>
      <c r="D18" s="189"/>
      <c r="E18" s="190" t="s">
        <v>32</v>
      </c>
      <c r="F18" s="191"/>
      <c r="G18" s="188" t="s">
        <v>33</v>
      </c>
      <c r="H18" s="189"/>
      <c r="I18" s="190" t="s">
        <v>34</v>
      </c>
      <c r="J18" s="191"/>
      <c r="K18" s="188" t="s">
        <v>35</v>
      </c>
      <c r="L18" s="189"/>
      <c r="M18" s="190" t="s">
        <v>36</v>
      </c>
      <c r="N18" s="191"/>
      <c r="O18" s="188" t="s">
        <v>37</v>
      </c>
      <c r="P18" s="189"/>
      <c r="Q18" s="190" t="s">
        <v>31</v>
      </c>
      <c r="R18" s="191"/>
      <c r="S18" s="116"/>
      <c r="T18" s="59"/>
    </row>
    <row r="19" spans="2:20" ht="21" thickBot="1">
      <c r="C19" s="192" t="s">
        <v>41</v>
      </c>
      <c r="D19" s="193"/>
      <c r="E19" s="194" t="s">
        <v>41</v>
      </c>
      <c r="F19" s="195"/>
      <c r="G19" s="197" t="s">
        <v>41</v>
      </c>
      <c r="H19" s="193"/>
      <c r="I19" s="194" t="s">
        <v>41</v>
      </c>
      <c r="J19" s="195"/>
      <c r="K19" s="197" t="s">
        <v>41</v>
      </c>
      <c r="L19" s="193"/>
      <c r="M19" s="194" t="s">
        <v>41</v>
      </c>
      <c r="N19" s="195"/>
      <c r="O19" s="197" t="s">
        <v>41</v>
      </c>
      <c r="P19" s="193"/>
      <c r="Q19" s="194" t="s">
        <v>41</v>
      </c>
      <c r="R19" s="196"/>
      <c r="S19" s="117"/>
      <c r="T19" s="25"/>
    </row>
    <row r="20" spans="2:20">
      <c r="S20" s="86"/>
    </row>
    <row r="21" spans="2:20">
      <c r="B21" s="126" t="s">
        <v>174</v>
      </c>
      <c r="C21" s="118"/>
      <c r="D21" s="118"/>
    </row>
    <row r="22" spans="2:20">
      <c r="B22" t="s">
        <v>189</v>
      </c>
    </row>
    <row r="23" spans="2:20">
      <c r="B23" t="s">
        <v>195</v>
      </c>
    </row>
    <row r="24" spans="2:20">
      <c r="B24" t="s">
        <v>196</v>
      </c>
    </row>
    <row r="25" spans="2:20">
      <c r="B25" t="s">
        <v>197</v>
      </c>
    </row>
    <row r="26" spans="2:20">
      <c r="B26" t="s">
        <v>190</v>
      </c>
    </row>
    <row r="27" spans="2:20">
      <c r="B27" t="s">
        <v>191</v>
      </c>
    </row>
    <row r="29" spans="2:20">
      <c r="B29" t="s">
        <v>192</v>
      </c>
    </row>
    <row r="30" spans="2:20">
      <c r="B30" t="s">
        <v>193</v>
      </c>
    </row>
    <row r="31" spans="2:20">
      <c r="B31" t="s">
        <v>194</v>
      </c>
    </row>
    <row r="33" spans="2:3">
      <c r="B33" s="9" t="s">
        <v>146</v>
      </c>
    </row>
    <row r="34" spans="2:3">
      <c r="B34" t="s">
        <v>40</v>
      </c>
      <c r="C34" t="s">
        <v>199</v>
      </c>
    </row>
    <row r="35" spans="2:3">
      <c r="B35" t="s">
        <v>110</v>
      </c>
      <c r="C35" t="s">
        <v>198</v>
      </c>
    </row>
    <row r="36" spans="2:3">
      <c r="B36" t="s">
        <v>111</v>
      </c>
      <c r="C36" t="s">
        <v>200</v>
      </c>
    </row>
    <row r="37" spans="2:3">
      <c r="B37" t="s">
        <v>112</v>
      </c>
      <c r="C37" t="s">
        <v>201</v>
      </c>
    </row>
  </sheetData>
  <mergeCells count="34">
    <mergeCell ref="O19:P19"/>
    <mergeCell ref="Q19:R19"/>
    <mergeCell ref="U13:U14"/>
    <mergeCell ref="V13:W14"/>
    <mergeCell ref="C19:D19"/>
    <mergeCell ref="E19:F19"/>
    <mergeCell ref="G19:H19"/>
    <mergeCell ref="I19:J19"/>
    <mergeCell ref="K19:L19"/>
    <mergeCell ref="M19:N19"/>
    <mergeCell ref="O17:P17"/>
    <mergeCell ref="Q17:R17"/>
    <mergeCell ref="C18:D18"/>
    <mergeCell ref="E18:F18"/>
    <mergeCell ref="G18:H18"/>
    <mergeCell ref="I18:J18"/>
    <mergeCell ref="K18:L18"/>
    <mergeCell ref="M18:N18"/>
    <mergeCell ref="O18:P18"/>
    <mergeCell ref="Q18:R18"/>
    <mergeCell ref="C17:D17"/>
    <mergeCell ref="E17:F17"/>
    <mergeCell ref="G17:H17"/>
    <mergeCell ref="I17:J17"/>
    <mergeCell ref="K17:L17"/>
    <mergeCell ref="M17:N17"/>
    <mergeCell ref="O12:P12"/>
    <mergeCell ref="Q12:R12"/>
    <mergeCell ref="C12:D12"/>
    <mergeCell ref="E12:F12"/>
    <mergeCell ref="G12:H12"/>
    <mergeCell ref="I12:J12"/>
    <mergeCell ref="K12:L12"/>
    <mergeCell ref="M12:N12"/>
  </mergeCells>
  <conditionalFormatting sqref="L2">
    <cfRule type="containsText" dxfId="32" priority="8" operator="containsText" text="NO">
      <formula>NOT(ISERROR(SEARCH("NO",L2)))</formula>
    </cfRule>
    <cfRule type="containsText" dxfId="31" priority="9" operator="containsText" text="YES">
      <formula>NOT(ISERROR(SEARCH("YES",L2)))</formula>
    </cfRule>
  </conditionalFormatting>
  <conditionalFormatting sqref="L3">
    <cfRule type="containsText" dxfId="30" priority="6" operator="containsText" text="NO">
      <formula>NOT(ISERROR(SEARCH("NO",L3)))</formula>
    </cfRule>
    <cfRule type="containsText" dxfId="29" priority="7" operator="containsText" text="YES">
      <formula>NOT(ISERROR(SEARCH("YES",L3)))</formula>
    </cfRule>
  </conditionalFormatting>
  <conditionalFormatting sqref="N8">
    <cfRule type="containsText" dxfId="28" priority="4" operator="containsText" text="NO">
      <formula>NOT(ISERROR(SEARCH("NO",N8)))</formula>
    </cfRule>
    <cfRule type="containsText" dxfId="27" priority="5" operator="containsText" text="YES">
      <formula>NOT(ISERROR(SEARCH("YES",N8)))</formula>
    </cfRule>
  </conditionalFormatting>
  <conditionalFormatting sqref="R8">
    <cfRule type="containsText" dxfId="26" priority="2" operator="containsText" text="NO">
      <formula>NOT(ISERROR(SEARCH("NO",R8)))</formula>
    </cfRule>
    <cfRule type="containsText" dxfId="25" priority="3" operator="containsText" text="YES">
      <formula>NOT(ISERROR(SEARCH("YES",R8)))</formula>
    </cfRule>
  </conditionalFormatting>
  <conditionalFormatting sqref="M5:M6">
    <cfRule type="cellIs" dxfId="24" priority="1" operator="notBetween">
      <formula>-127</formula>
      <formula>127</formula>
    </cfRule>
  </conditionalFormatting>
  <pageMargins left="0.7" right="0.7" top="0.75" bottom="0.75" header="0.3" footer="0.3"/>
  <ignoredErrors>
    <ignoredError sqref="D14:Q14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topLeftCell="A9" workbookViewId="0">
      <selection activeCell="R10" sqref="R10"/>
    </sheetView>
  </sheetViews>
  <sheetFormatPr baseColWidth="10" defaultColWidth="8.83203125" defaultRowHeight="14" x14ac:dyDescent="0"/>
  <cols>
    <col min="1" max="33" width="5.6640625" customWidth="1"/>
  </cols>
  <sheetData>
    <row r="1" spans="1:26" ht="18">
      <c r="B1" s="15" t="s">
        <v>130</v>
      </c>
      <c r="C1" s="16"/>
      <c r="V1" s="2"/>
      <c r="W1" s="2"/>
    </row>
    <row r="2" spans="1:26">
      <c r="W2" s="3"/>
    </row>
    <row r="3" spans="1:26" ht="16" customHeight="1">
      <c r="A3" s="17"/>
      <c r="B3" s="17"/>
      <c r="C3" s="17" t="s">
        <v>38</v>
      </c>
      <c r="D3" s="17"/>
      <c r="E3" s="17"/>
      <c r="F3" s="17"/>
      <c r="G3" s="17"/>
      <c r="H3" s="18" t="s">
        <v>0</v>
      </c>
      <c r="I3" s="19"/>
      <c r="J3" s="74">
        <f>IF($M$3&gt;=0,0,1)</f>
        <v>0</v>
      </c>
      <c r="K3" s="42"/>
      <c r="L3" s="19" t="s">
        <v>1</v>
      </c>
      <c r="M3" s="20">
        <v>120</v>
      </c>
      <c r="N3" s="21" t="s">
        <v>24</v>
      </c>
      <c r="O3" s="21" t="s">
        <v>22</v>
      </c>
      <c r="P3" s="17"/>
      <c r="Q3" s="17"/>
      <c r="R3" s="17"/>
      <c r="S3" s="17"/>
      <c r="T3" s="17"/>
      <c r="W3" s="11"/>
    </row>
    <row r="4" spans="1:26" ht="16" customHeight="1">
      <c r="A4" s="17"/>
      <c r="B4" s="17"/>
      <c r="C4" s="17" t="s">
        <v>2</v>
      </c>
      <c r="D4" s="17"/>
      <c r="E4" s="17"/>
      <c r="F4" s="22">
        <v>0</v>
      </c>
      <c r="G4" s="17"/>
      <c r="H4" s="18" t="s">
        <v>3</v>
      </c>
      <c r="I4" s="19"/>
      <c r="J4" s="74">
        <f>IF($M$4&gt;=0,0,1)</f>
        <v>0</v>
      </c>
      <c r="K4" s="42"/>
      <c r="L4" s="19" t="s">
        <v>4</v>
      </c>
      <c r="M4" s="20">
        <v>5</v>
      </c>
      <c r="N4" s="21" t="s">
        <v>24</v>
      </c>
      <c r="O4" s="17" t="s">
        <v>23</v>
      </c>
      <c r="P4" s="17"/>
      <c r="Q4" s="17"/>
      <c r="R4" s="17"/>
      <c r="S4" s="17"/>
      <c r="T4" s="17"/>
      <c r="W4" s="10"/>
    </row>
    <row r="5" spans="1:26" ht="16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 t="s">
        <v>5</v>
      </c>
      <c r="M5" s="23">
        <f>IF(F4,M3-M4,M3+M4)</f>
        <v>125</v>
      </c>
      <c r="N5" s="17"/>
      <c r="O5" s="17"/>
      <c r="P5" s="17"/>
      <c r="Q5" s="17"/>
      <c r="R5" s="17"/>
      <c r="S5" s="17"/>
      <c r="T5" s="17"/>
      <c r="W5" s="10"/>
    </row>
    <row r="6" spans="1:26" ht="16" customHeight="1" thickBot="1">
      <c r="B6" s="45" t="s">
        <v>47</v>
      </c>
      <c r="C6" s="45"/>
      <c r="D6" s="45"/>
      <c r="E6" s="45"/>
      <c r="F6" s="45"/>
      <c r="G6" s="45"/>
      <c r="H6" s="45"/>
      <c r="I6" s="38">
        <f>Q16+2*O16+4*M16+8*K16+16*I16+32*G16+64*E16-128*C16</f>
        <v>125</v>
      </c>
      <c r="J6" s="45" t="s">
        <v>20</v>
      </c>
      <c r="K6" s="45"/>
      <c r="L6" s="45"/>
      <c r="M6" s="45"/>
      <c r="N6" s="39" t="str">
        <f>IF(I6=M5,"YES","NO")</f>
        <v>YES</v>
      </c>
      <c r="O6" s="45" t="s">
        <v>21</v>
      </c>
      <c r="P6" s="45"/>
      <c r="Q6" s="45"/>
      <c r="R6" s="37" t="str">
        <f>IF(C$9&lt;&gt;D$9,"NO",IF(AND(C$9=D$9,C$9=C$16),"NO","YES"))</f>
        <v>NO</v>
      </c>
      <c r="W6" s="2"/>
    </row>
    <row r="7" spans="1:26" s="29" customFormat="1" ht="16" customHeight="1">
      <c r="A7" s="24"/>
      <c r="B7" s="25"/>
      <c r="C7" s="53" t="s">
        <v>41</v>
      </c>
      <c r="D7" s="54" t="s">
        <v>41</v>
      </c>
      <c r="E7" s="26" t="s">
        <v>41</v>
      </c>
      <c r="F7" s="26" t="s">
        <v>41</v>
      </c>
      <c r="G7" s="54" t="s">
        <v>41</v>
      </c>
      <c r="H7" s="54" t="s">
        <v>41</v>
      </c>
      <c r="I7" s="26" t="s">
        <v>41</v>
      </c>
      <c r="J7" s="26" t="s">
        <v>41</v>
      </c>
      <c r="K7" s="54" t="s">
        <v>41</v>
      </c>
      <c r="L7" s="54" t="s">
        <v>41</v>
      </c>
      <c r="M7" s="26" t="s">
        <v>41</v>
      </c>
      <c r="N7" s="26" t="s">
        <v>41</v>
      </c>
      <c r="O7" s="54" t="s">
        <v>41</v>
      </c>
      <c r="P7" s="54" t="s">
        <v>41</v>
      </c>
      <c r="Q7" s="26" t="s">
        <v>41</v>
      </c>
      <c r="R7" s="27" t="s">
        <v>41</v>
      </c>
      <c r="S7" s="24"/>
      <c r="T7" s="25"/>
      <c r="U7" s="28"/>
      <c r="W7" s="2"/>
    </row>
    <row r="8" spans="1:26" ht="16" customHeight="1">
      <c r="A8" s="30"/>
      <c r="C8" s="55" t="s">
        <v>43</v>
      </c>
      <c r="D8" s="56" t="s">
        <v>44</v>
      </c>
      <c r="E8" s="31" t="s">
        <v>6</v>
      </c>
      <c r="F8" s="31" t="s">
        <v>7</v>
      </c>
      <c r="G8" s="56" t="s">
        <v>8</v>
      </c>
      <c r="H8" s="56" t="s">
        <v>9</v>
      </c>
      <c r="I8" s="31" t="s">
        <v>10</v>
      </c>
      <c r="J8" s="31" t="s">
        <v>11</v>
      </c>
      <c r="K8" s="56" t="s">
        <v>12</v>
      </c>
      <c r="L8" s="56" t="s">
        <v>13</v>
      </c>
      <c r="M8" s="31" t="s">
        <v>14</v>
      </c>
      <c r="N8" s="31" t="s">
        <v>15</v>
      </c>
      <c r="O8" s="56" t="s">
        <v>16</v>
      </c>
      <c r="P8" s="56" t="s">
        <v>17</v>
      </c>
      <c r="Q8" s="31" t="s">
        <v>18</v>
      </c>
      <c r="R8" s="32" t="s">
        <v>19</v>
      </c>
      <c r="S8" s="33"/>
      <c r="W8" s="2"/>
    </row>
    <row r="9" spans="1:26" ht="16" customHeight="1" thickBot="1">
      <c r="A9" s="30"/>
      <c r="C9" s="57">
        <f>IF($M$3&gt;=0,0,1)</f>
        <v>0</v>
      </c>
      <c r="D9" s="57">
        <f>IF($F$4,NOT(J4),J4)*1</f>
        <v>0</v>
      </c>
      <c r="E9" s="64">
        <f>IF($J$3,AND((256+$M$3)&gt;=64,ISODD((256+$M$3)/64)),AND($M$3&gt;=64,ISODD($M$3/64)))*1</f>
        <v>1</v>
      </c>
      <c r="F9" s="61">
        <f>IF($F$4,NOT(IF($J$4,AND((256+$M$4)&gt;=64,ISODD((256+$M$4)/64)),AND($M$4&gt;=64,ISODD($M$4/64)))),IF($J$4,AND((256+$M$4)&gt;=64,ISODD((256+$M$4)/64)),AND($M$4&gt;=64,ISODD($M$4/64))))*1</f>
        <v>0</v>
      </c>
      <c r="G9" s="62">
        <f>IF($J$3,AND((256+$M$3)&gt;=32,ISODD((256+$M$3)/32)),AND($M$3&gt;=32,ISODD($M$3/32)))*1</f>
        <v>1</v>
      </c>
      <c r="H9" s="62">
        <f>IF($F$4,NOT(IF($J$4,AND((256+$M$4)&gt;=32,ISODD((256+$M$4)/32)),AND($M$4&gt;=32,ISODD($M$4/32)))),IF($J$4,AND((256+$M$4)&gt;=32,ISODD((256+$M$4)/32)),AND($M$4&gt;=32,ISODD($M$4/32))))*1</f>
        <v>0</v>
      </c>
      <c r="I9" s="64">
        <f>IF($J$3,AND((256+$M$3)&gt;=16,ISODD((256+$M$3)/16)),AND($M$3&gt;=16,ISODD($M$3/16)))*1</f>
        <v>1</v>
      </c>
      <c r="J9" s="61">
        <f>IF($F$4,NOT(IF($J$4,AND((256+$M$4)&gt;=16,ISODD((256+$M$4)/16)),AND($M$4&gt;=16,ISODD($M$4/16)))),IF($J$4,AND((256+$M$4)&gt;=16,ISODD((256+$M$4)/16)),AND($M$4&gt;=16,ISODD($M$4/16))))*1</f>
        <v>0</v>
      </c>
      <c r="K9" s="62">
        <f>IF($J$3,AND((256+$M$3)&gt;=8,ISODD((256+$M$3)/8)),AND($M$3&gt;=8,ISODD($M$3/8)))*1</f>
        <v>1</v>
      </c>
      <c r="L9" s="62">
        <f>IF($F$4,NOT(IF($J$4,AND((256+$M$4)&gt;=8,ISODD((256+$M$4)/8)),AND($M$4&gt;=8,ISODD($M$4/8)))),IF($J$4,AND((256+$M$4)&gt;=8,ISODD((256+$M$4)/8)),AND($M$4&gt;=8,ISODD($M$4/8))))*1</f>
        <v>0</v>
      </c>
      <c r="M9" s="64">
        <f>IF($J$3,AND((256+$M$3)&gt;=4,ISODD((256+$M$3)/4)),AND($M$3&gt;=4,ISODD($M$3/4)))*1</f>
        <v>0</v>
      </c>
      <c r="N9" s="61">
        <f>IF($F$4,NOT(IF($J$4,AND((256+$M$4)&gt;=4,ISODD((256+$M$4)/4)),AND($M$4&gt;=4,ISODD($M$4/4)))),IF($J$4,AND((256+$M$4)&gt;=4,ISODD((256+$M$4)/4)),AND($M$4&gt;=4,ISODD($M$4/4))))*1</f>
        <v>1</v>
      </c>
      <c r="O9" s="62">
        <f>IF($J$3,AND((256+$M$3)&gt;=2,ISODD((256+$M$3)/2)),AND($M$3&gt;=2,ISODD($M$3/2)))*1</f>
        <v>0</v>
      </c>
      <c r="P9" s="62">
        <f>IF($F$4,NOT(IF($J$4,AND((256+$M$4)&gt;=2,ISODD((256+$M$4)/2)),AND($M$4&gt;=2,ISODD($M$4/2)))),IF($J$4,AND((256+$M$4)&gt;=2,ISODD((256+$M$4)/2)),AND($M$4&gt;=2,ISODD($M$4/2))))*1</f>
        <v>0</v>
      </c>
      <c r="Q9" s="64">
        <f>IF($J$3,ISODD(256+$M$3),ISODD($M$3))*1</f>
        <v>0</v>
      </c>
      <c r="R9" s="65">
        <f>IF($F$4,NOT(IF($J$4,ISODD(256+$M$4),ISODD($M$4))),IF($J$4,ISODD(256+$M$4),ISODD($M$4)))*1</f>
        <v>1</v>
      </c>
      <c r="S9" s="33"/>
      <c r="T9" s="25"/>
      <c r="U9" s="28"/>
      <c r="W9" s="2"/>
    </row>
    <row r="10" spans="1:26" ht="16" customHeight="1">
      <c r="A10" s="30"/>
      <c r="C10" s="143"/>
      <c r="D10" s="144"/>
      <c r="E10" s="145"/>
      <c r="F10" s="146"/>
      <c r="G10" s="147"/>
      <c r="H10" s="147"/>
      <c r="I10" s="145"/>
      <c r="J10" s="146"/>
      <c r="K10" s="147"/>
      <c r="L10" s="147"/>
      <c r="M10" s="145"/>
      <c r="N10" s="146"/>
      <c r="O10" s="147"/>
      <c r="P10" s="147"/>
      <c r="Q10" s="145">
        <f>Q9*R9</f>
        <v>0</v>
      </c>
      <c r="R10" s="148">
        <f>_xlfn.BITXOR(Q9,R9)*1</f>
        <v>1</v>
      </c>
      <c r="S10" s="33"/>
      <c r="T10" s="25"/>
      <c r="U10" s="28"/>
      <c r="W10" s="2"/>
    </row>
    <row r="11" spans="1:26" ht="16" customHeight="1">
      <c r="A11" s="30"/>
      <c r="C11" s="137" t="s">
        <v>50</v>
      </c>
      <c r="D11" s="90" t="s">
        <v>51</v>
      </c>
      <c r="E11" s="43" t="s">
        <v>52</v>
      </c>
      <c r="F11" s="43" t="s">
        <v>53</v>
      </c>
      <c r="G11" s="90" t="s">
        <v>54</v>
      </c>
      <c r="H11" s="90" t="s">
        <v>55</v>
      </c>
      <c r="I11" s="43" t="s">
        <v>56</v>
      </c>
      <c r="J11" s="43" t="s">
        <v>57</v>
      </c>
      <c r="K11" s="90" t="s">
        <v>58</v>
      </c>
      <c r="L11" s="90" t="s">
        <v>59</v>
      </c>
      <c r="M11" s="43" t="s">
        <v>60</v>
      </c>
      <c r="N11" s="43" t="s">
        <v>61</v>
      </c>
      <c r="O11" s="90" t="s">
        <v>62</v>
      </c>
      <c r="P11" s="90" t="s">
        <v>63</v>
      </c>
      <c r="Q11" s="43" t="s">
        <v>66</v>
      </c>
      <c r="R11" s="138" t="s">
        <v>139</v>
      </c>
      <c r="S11" s="132"/>
      <c r="T11" s="60"/>
      <c r="U11" s="60"/>
      <c r="W11" s="2"/>
      <c r="X11" s="1"/>
      <c r="Y11" s="1"/>
      <c r="Z11" s="1"/>
    </row>
    <row r="12" spans="1:26" ht="16" customHeight="1" thickBot="1">
      <c r="A12" s="30"/>
      <c r="C12" s="139">
        <f t="shared" ref="C12" si="0">AND(C9,D9)*1</f>
        <v>0</v>
      </c>
      <c r="D12" s="134">
        <f t="shared" ref="D12" si="1">IF(C9,NOT(D9),D9)*1</f>
        <v>0</v>
      </c>
      <c r="E12" s="135">
        <f t="shared" ref="E12" si="2">AND(E9,F9)*1</f>
        <v>0</v>
      </c>
      <c r="F12" s="135">
        <f t="shared" ref="F12" si="3">IF(E9,NOT(F9),F9)*1</f>
        <v>1</v>
      </c>
      <c r="G12" s="134">
        <f t="shared" ref="G12" si="4">AND(G9,H9)*1</f>
        <v>0</v>
      </c>
      <c r="H12" s="134">
        <f t="shared" ref="H12" si="5">IF(G9,NOT(H9),H9)*1</f>
        <v>1</v>
      </c>
      <c r="I12" s="135">
        <f t="shared" ref="I12" si="6">AND(I9,J9)*1</f>
        <v>0</v>
      </c>
      <c r="J12" s="135">
        <f t="shared" ref="J12" si="7">IF(I9,NOT(J9),J9)*1</f>
        <v>1</v>
      </c>
      <c r="K12" s="134">
        <f t="shared" ref="K12" si="8">AND(K9,L9)*1</f>
        <v>0</v>
      </c>
      <c r="L12" s="134">
        <f t="shared" ref="L12" si="9">IF(K9,NOT(L9),L9)*1</f>
        <v>1</v>
      </c>
      <c r="M12" s="135">
        <f t="shared" ref="M12" si="10">AND(M9,N9)*1</f>
        <v>0</v>
      </c>
      <c r="N12" s="135">
        <f t="shared" ref="N12" si="11">IF(M9,NOT(N9),N9)*1</f>
        <v>1</v>
      </c>
      <c r="O12" s="134">
        <f>AND(O9,P9)*1</f>
        <v>0</v>
      </c>
      <c r="P12" s="134">
        <f>IF(O9,NOT(P9),P9)*1</f>
        <v>0</v>
      </c>
      <c r="Q12" s="135">
        <f>OR(Q10,AND(_xlfn.BITXOR(Q9,R9),$F$4))*1</f>
        <v>0</v>
      </c>
      <c r="R12" s="140">
        <f>IF(Q12,NOT(Q12),R10)*1</f>
        <v>1</v>
      </c>
      <c r="S12" s="35"/>
      <c r="U12" s="60"/>
      <c r="W12" s="2"/>
      <c r="X12" s="1"/>
      <c r="Y12" s="1"/>
      <c r="Z12" s="1"/>
    </row>
    <row r="13" spans="1:26" ht="16" customHeight="1">
      <c r="A13" s="30"/>
      <c r="C13" s="133"/>
      <c r="D13" s="133"/>
      <c r="E13" s="88"/>
      <c r="F13" s="88"/>
      <c r="G13" s="133"/>
      <c r="H13" s="133"/>
      <c r="I13" s="88"/>
      <c r="J13" s="88"/>
      <c r="K13" s="133"/>
      <c r="L13" s="133"/>
      <c r="M13" s="88"/>
      <c r="N13" s="88"/>
      <c r="O13" s="133"/>
      <c r="P13" s="133"/>
      <c r="Q13" s="88"/>
      <c r="R13" s="88"/>
      <c r="S13" s="33"/>
      <c r="T13" s="89"/>
      <c r="U13" s="60"/>
      <c r="W13" s="2"/>
      <c r="X13" s="1"/>
      <c r="Y13" s="1"/>
      <c r="Z13" s="1"/>
    </row>
    <row r="14" spans="1:26" ht="16" customHeight="1">
      <c r="A14" s="24"/>
      <c r="C14" s="46"/>
      <c r="D14" s="46"/>
      <c r="E14" s="85"/>
      <c r="F14" s="85"/>
      <c r="G14" s="88"/>
      <c r="H14" s="88"/>
      <c r="I14" s="88"/>
      <c r="J14" s="88"/>
      <c r="K14" s="46"/>
      <c r="L14" s="46"/>
      <c r="M14" s="85"/>
      <c r="N14" s="85"/>
      <c r="O14" s="88"/>
      <c r="P14" s="88"/>
      <c r="Q14" s="88"/>
      <c r="R14" s="88"/>
      <c r="W14" s="2"/>
      <c r="X14" s="1" t="s">
        <v>211</v>
      </c>
      <c r="Y14" s="1"/>
      <c r="Z14" s="1"/>
    </row>
    <row r="15" spans="1:26" ht="16" customHeight="1" thickBot="1">
      <c r="A15" s="36"/>
      <c r="B15" s="73" t="s">
        <v>42</v>
      </c>
      <c r="C15" s="149"/>
      <c r="D15" s="149"/>
      <c r="E15" s="149"/>
      <c r="F15" s="149"/>
      <c r="G15" s="149"/>
      <c r="H15" s="149"/>
      <c r="I15" s="149"/>
      <c r="J15" s="149"/>
      <c r="K15" s="89"/>
      <c r="L15" s="89"/>
      <c r="M15" s="89"/>
      <c r="N15" s="89"/>
      <c r="O15" s="89"/>
      <c r="P15" s="89"/>
      <c r="Q15" s="89"/>
      <c r="R15" s="89"/>
      <c r="S15" s="51">
        <f>$F$4</f>
        <v>0</v>
      </c>
      <c r="T15" s="52" t="s">
        <v>118</v>
      </c>
      <c r="U15" s="35"/>
      <c r="W15" s="2"/>
      <c r="X15" s="1"/>
      <c r="Y15" s="1"/>
      <c r="Z15" s="1"/>
    </row>
    <row r="16" spans="1:26" ht="16" customHeight="1">
      <c r="A16" s="37"/>
      <c r="B16" s="17"/>
      <c r="C16" s="219">
        <f t="shared" ref="C16" si="12">IF(D12,NOT(E15),E15)*1</f>
        <v>0</v>
      </c>
      <c r="D16" s="216"/>
      <c r="E16" s="217">
        <f t="shared" ref="E16" si="13">IF(F12,NOT(G15),G15)*1</f>
        <v>1</v>
      </c>
      <c r="F16" s="220"/>
      <c r="G16" s="215">
        <f t="shared" ref="G16" si="14">IF(H12,NOT(I15),I15)*1</f>
        <v>1</v>
      </c>
      <c r="H16" s="216"/>
      <c r="I16" s="217">
        <f t="shared" ref="I16" si="15">IF(J12,NOT(K15),K15)*1</f>
        <v>1</v>
      </c>
      <c r="J16" s="220"/>
      <c r="K16" s="215">
        <f t="shared" ref="K16" si="16">IF(L12,NOT(M15),M15)*1</f>
        <v>1</v>
      </c>
      <c r="L16" s="216"/>
      <c r="M16" s="217">
        <f t="shared" ref="M16" si="17">IF(N12,NOT(O15),O15)*1</f>
        <v>1</v>
      </c>
      <c r="N16" s="220"/>
      <c r="O16" s="215">
        <f>IF(P12,NOT(Q15),Q15)*1</f>
        <v>0</v>
      </c>
      <c r="P16" s="216"/>
      <c r="Q16" s="217">
        <f>IF(R10,NOT(S15),S15)*1</f>
        <v>1</v>
      </c>
      <c r="R16" s="218"/>
      <c r="S16" s="60"/>
      <c r="U16" s="28"/>
      <c r="W16" s="1"/>
      <c r="X16" s="2"/>
      <c r="Y16" s="1"/>
      <c r="Z16" s="1"/>
    </row>
    <row r="17" spans="1:26" ht="16" customHeight="1">
      <c r="A17" s="1"/>
      <c r="B17" s="3"/>
      <c r="C17" s="178" t="s">
        <v>46</v>
      </c>
      <c r="D17" s="179"/>
      <c r="E17" s="176" t="s">
        <v>32</v>
      </c>
      <c r="F17" s="177"/>
      <c r="G17" s="180" t="s">
        <v>33</v>
      </c>
      <c r="H17" s="179"/>
      <c r="I17" s="176" t="s">
        <v>34</v>
      </c>
      <c r="J17" s="177"/>
      <c r="K17" s="180" t="s">
        <v>35</v>
      </c>
      <c r="L17" s="179"/>
      <c r="M17" s="176" t="s">
        <v>36</v>
      </c>
      <c r="N17" s="177"/>
      <c r="O17" s="180" t="s">
        <v>37</v>
      </c>
      <c r="P17" s="179"/>
      <c r="Q17" s="176" t="s">
        <v>31</v>
      </c>
      <c r="R17" s="183"/>
      <c r="U17" s="2"/>
      <c r="W17" s="1"/>
      <c r="X17" s="2"/>
      <c r="Y17" s="1"/>
      <c r="Z17" s="1"/>
    </row>
    <row r="18" spans="1:26" s="17" customFormat="1" ht="16" customHeight="1" thickBot="1">
      <c r="B18"/>
      <c r="C18" s="224" t="s">
        <v>41</v>
      </c>
      <c r="D18" s="221"/>
      <c r="E18" s="222" t="s">
        <v>41</v>
      </c>
      <c r="F18" s="222"/>
      <c r="G18" s="221" t="s">
        <v>41</v>
      </c>
      <c r="H18" s="221"/>
      <c r="I18" s="222" t="s">
        <v>41</v>
      </c>
      <c r="J18" s="222"/>
      <c r="K18" s="221" t="s">
        <v>41</v>
      </c>
      <c r="L18" s="221"/>
      <c r="M18" s="222" t="s">
        <v>41</v>
      </c>
      <c r="N18" s="222"/>
      <c r="O18" s="221" t="s">
        <v>41</v>
      </c>
      <c r="P18" s="221"/>
      <c r="Q18" s="222" t="s">
        <v>41</v>
      </c>
      <c r="R18" s="223"/>
      <c r="S18"/>
      <c r="T18"/>
      <c r="U18" s="40"/>
      <c r="V18" s="35"/>
      <c r="W18" s="72"/>
      <c r="X18" s="91"/>
      <c r="Y18" s="1"/>
      <c r="Z18" s="72"/>
    </row>
    <row r="19" spans="1:26" s="17" customFormat="1" ht="16" customHeight="1">
      <c r="A19" s="151"/>
      <c r="B19" s="151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/>
      <c r="T19"/>
      <c r="U19" s="40"/>
      <c r="V19" s="35"/>
      <c r="W19" s="72"/>
      <c r="X19" s="91"/>
      <c r="Y19" s="1"/>
      <c r="Z19" s="72"/>
    </row>
    <row r="20" spans="1:26" s="17" customFormat="1" ht="16" customHeight="1">
      <c r="B20" t="s">
        <v>68</v>
      </c>
      <c r="U20" s="89"/>
      <c r="V20" s="35"/>
      <c r="W20" s="1"/>
      <c r="X20" s="91"/>
      <c r="Y20" s="1"/>
      <c r="Z20" s="72"/>
    </row>
    <row r="21" spans="1:26">
      <c r="B21" t="s">
        <v>67</v>
      </c>
      <c r="U21" s="59"/>
    </row>
    <row r="22" spans="1:26" ht="15">
      <c r="B22" s="45" t="s">
        <v>47</v>
      </c>
      <c r="C22" s="45"/>
      <c r="D22" s="45"/>
      <c r="E22" s="45"/>
      <c r="F22" s="45"/>
      <c r="G22" s="45"/>
      <c r="H22" s="45"/>
      <c r="I22" s="38">
        <f>Q25+2*O25+4*M25+8*K25+16*I25+32*G25+64*E25-128*C25</f>
        <v>125</v>
      </c>
      <c r="J22" s="45" t="s">
        <v>20</v>
      </c>
      <c r="K22" s="45"/>
      <c r="L22" s="45"/>
      <c r="M22" s="45"/>
      <c r="N22" s="39" t="str">
        <f>IF(I22=M5,"YES","NO")</f>
        <v>YES</v>
      </c>
      <c r="O22" s="45" t="s">
        <v>21</v>
      </c>
      <c r="P22" s="45"/>
      <c r="Q22" s="45"/>
      <c r="R22" s="37" t="str">
        <f>IF(C$9&lt;&gt;D$9,"NO",IF(AND(C$9=D$9,C$9=C$25),"NO","YES"))</f>
        <v>NO</v>
      </c>
      <c r="S22" s="1"/>
    </row>
    <row r="23" spans="1:26" ht="15">
      <c r="A23" s="84" t="s">
        <v>42</v>
      </c>
      <c r="B23" t="s">
        <v>29</v>
      </c>
      <c r="C23" s="225">
        <f>OR(AND(C9,D9),AND(E23,OR(C9,D9)))*1</f>
        <v>0</v>
      </c>
      <c r="D23" s="226"/>
      <c r="E23" s="225">
        <f>OR(AND(E9,F9),AND(G23,OR(E9,F9)))*1</f>
        <v>0</v>
      </c>
      <c r="F23" s="226"/>
      <c r="G23" s="225">
        <f>OR(AND(G9,H9),AND(I23,OR(G9,H9)))*1</f>
        <v>0</v>
      </c>
      <c r="H23" s="226"/>
      <c r="I23" s="225">
        <f>OR(AND(I9,J9),AND(K23,OR(I9,J9)))*1</f>
        <v>0</v>
      </c>
      <c r="J23" s="226"/>
      <c r="K23" s="225">
        <f>OR(AND(K9,L9),AND(M23,OR(K9,L9)))*1</f>
        <v>0</v>
      </c>
      <c r="L23" s="226"/>
      <c r="M23" s="225">
        <f>OR(AND(M9,N9),AND(O23,OR(M9,N9)))*1</f>
        <v>0</v>
      </c>
      <c r="N23" s="226"/>
      <c r="O23" s="225">
        <f>OR(AND(O9,P9),AND(Q23,OR(O9,P9)))*1</f>
        <v>0</v>
      </c>
      <c r="P23" s="226"/>
      <c r="Q23" s="225">
        <f>OR(AND(Q9,R9),AND(S23,OR(Q9,R9)))*1</f>
        <v>0</v>
      </c>
      <c r="R23" s="226"/>
      <c r="S23" s="82">
        <f>F4</f>
        <v>0</v>
      </c>
      <c r="T23" t="s">
        <v>27</v>
      </c>
    </row>
    <row r="24" spans="1:26" ht="15.75" customHeight="1">
      <c r="C24" s="225" t="s">
        <v>209</v>
      </c>
      <c r="D24" s="226"/>
      <c r="E24" s="225" t="s">
        <v>210</v>
      </c>
      <c r="F24" s="226"/>
      <c r="G24" s="225" t="s">
        <v>204</v>
      </c>
      <c r="H24" s="226"/>
      <c r="I24" s="225" t="s">
        <v>205</v>
      </c>
      <c r="J24" s="226"/>
      <c r="K24" s="225" t="s">
        <v>206</v>
      </c>
      <c r="L24" s="226"/>
      <c r="M24" s="225" t="s">
        <v>207</v>
      </c>
      <c r="N24" s="226"/>
      <c r="O24" s="225" t="s">
        <v>208</v>
      </c>
      <c r="P24" s="226"/>
      <c r="Q24" s="225" t="s">
        <v>203</v>
      </c>
      <c r="R24" s="226"/>
      <c r="S24" s="82"/>
    </row>
    <row r="25" spans="1:26" ht="15">
      <c r="C25" s="180">
        <f>OR(AND(C9,D9,E23),AND(NOT(C23),OR(C9,D9,E23)))*1</f>
        <v>0</v>
      </c>
      <c r="D25" s="179"/>
      <c r="E25" s="181">
        <f>OR(AND(E9,F9,G23),AND(NOT(E23),OR(E9,F9,G23)))*1</f>
        <v>1</v>
      </c>
      <c r="F25" s="177"/>
      <c r="G25" s="182">
        <f>OR(AND(G9,H9,I23),AND(NOT(G23),OR(G9,H9,I23)))*1</f>
        <v>1</v>
      </c>
      <c r="H25" s="179"/>
      <c r="I25" s="181">
        <f>OR(AND(I9,J9,K23),AND(NOT(I23),OR(I9,J9,K23)))*1</f>
        <v>1</v>
      </c>
      <c r="J25" s="177"/>
      <c r="K25" s="182">
        <f>OR(AND(K9,L9,M23),AND(NOT(K23),OR(K9,L9,M23)))*1</f>
        <v>1</v>
      </c>
      <c r="L25" s="179"/>
      <c r="M25" s="181">
        <f>OR(AND(M9,N9,O23),AND(NOT(M23),OR(M9,N9,O23)))*1</f>
        <v>1</v>
      </c>
      <c r="N25" s="177"/>
      <c r="O25" s="182">
        <f>OR(AND(O9,P9,Q23),AND(NOT(O23),OR(O9,P9,Q23)))*1</f>
        <v>0</v>
      </c>
      <c r="P25" s="179"/>
      <c r="Q25" s="181">
        <f>OR(AND(Q9,R9,S23),AND(NOT(Q23),OR(Q9,R9,S23)))*1</f>
        <v>1</v>
      </c>
      <c r="R25" s="177"/>
      <c r="S25" s="152"/>
    </row>
    <row r="26" spans="1:26" ht="15">
      <c r="C26" s="178" t="s">
        <v>46</v>
      </c>
      <c r="D26" s="179"/>
      <c r="E26" s="176" t="s">
        <v>32</v>
      </c>
      <c r="F26" s="177"/>
      <c r="G26" s="180" t="s">
        <v>33</v>
      </c>
      <c r="H26" s="179"/>
      <c r="I26" s="176" t="s">
        <v>34</v>
      </c>
      <c r="J26" s="177"/>
      <c r="K26" s="180" t="s">
        <v>35</v>
      </c>
      <c r="L26" s="179"/>
      <c r="M26" s="176" t="s">
        <v>36</v>
      </c>
      <c r="N26" s="177"/>
      <c r="O26" s="180" t="s">
        <v>37</v>
      </c>
      <c r="P26" s="179"/>
      <c r="Q26" s="176" t="s">
        <v>31</v>
      </c>
      <c r="R26" s="183"/>
      <c r="S26" s="37"/>
    </row>
    <row r="28" spans="1:26">
      <c r="B28" s="126" t="s">
        <v>174</v>
      </c>
    </row>
    <row r="29" spans="1:26">
      <c r="B29" t="s">
        <v>212</v>
      </c>
    </row>
    <row r="30" spans="1:26">
      <c r="B30" t="s">
        <v>213</v>
      </c>
    </row>
    <row r="32" spans="1:26">
      <c r="B32" s="9" t="s">
        <v>214</v>
      </c>
    </row>
    <row r="33" spans="2:3">
      <c r="B33" t="s">
        <v>215</v>
      </c>
    </row>
    <row r="34" spans="2:3">
      <c r="B34" t="s">
        <v>216</v>
      </c>
    </row>
    <row r="35" spans="2:3">
      <c r="B35" t="s">
        <v>40</v>
      </c>
      <c r="C35" t="s">
        <v>217</v>
      </c>
    </row>
    <row r="36" spans="2:3">
      <c r="C36" t="s">
        <v>218</v>
      </c>
    </row>
    <row r="37" spans="2:3">
      <c r="B37" t="s">
        <v>110</v>
      </c>
      <c r="C37" t="s">
        <v>219</v>
      </c>
    </row>
    <row r="38" spans="2:3">
      <c r="B38" t="s">
        <v>111</v>
      </c>
      <c r="C38" t="s">
        <v>220</v>
      </c>
    </row>
    <row r="39" spans="2:3">
      <c r="C39" t="s">
        <v>221</v>
      </c>
    </row>
    <row r="40" spans="2:3">
      <c r="B40" t="s">
        <v>186</v>
      </c>
      <c r="C40" t="s">
        <v>222</v>
      </c>
    </row>
    <row r="41" spans="2:3">
      <c r="C41" t="s">
        <v>223</v>
      </c>
    </row>
    <row r="42" spans="2:3">
      <c r="B42" t="s">
        <v>113</v>
      </c>
      <c r="C42" t="s">
        <v>224</v>
      </c>
    </row>
  </sheetData>
  <mergeCells count="56">
    <mergeCell ref="O26:P26"/>
    <mergeCell ref="Q26:R26"/>
    <mergeCell ref="K25:L25"/>
    <mergeCell ref="M25:N25"/>
    <mergeCell ref="O25:P25"/>
    <mergeCell ref="Q25:R25"/>
    <mergeCell ref="M26:N26"/>
    <mergeCell ref="E23:F23"/>
    <mergeCell ref="G23:H23"/>
    <mergeCell ref="I23:J23"/>
    <mergeCell ref="K23:L23"/>
    <mergeCell ref="C26:D26"/>
    <mergeCell ref="E26:F26"/>
    <mergeCell ref="G26:H26"/>
    <mergeCell ref="I26:J26"/>
    <mergeCell ref="K26:L26"/>
    <mergeCell ref="M23:N23"/>
    <mergeCell ref="O23:P23"/>
    <mergeCell ref="Q23:R23"/>
    <mergeCell ref="C25:D25"/>
    <mergeCell ref="E25:F25"/>
    <mergeCell ref="G25:H25"/>
    <mergeCell ref="I25:J25"/>
    <mergeCell ref="O24:P24"/>
    <mergeCell ref="Q24:R24"/>
    <mergeCell ref="C24:D24"/>
    <mergeCell ref="E24:F24"/>
    <mergeCell ref="G24:H24"/>
    <mergeCell ref="I24:J24"/>
    <mergeCell ref="K24:L24"/>
    <mergeCell ref="M24:N24"/>
    <mergeCell ref="C23:D23"/>
    <mergeCell ref="O18:P18"/>
    <mergeCell ref="Q18:R18"/>
    <mergeCell ref="C18:D18"/>
    <mergeCell ref="E18:F18"/>
    <mergeCell ref="G18:H18"/>
    <mergeCell ref="I18:J18"/>
    <mergeCell ref="K18:L18"/>
    <mergeCell ref="M18:N18"/>
    <mergeCell ref="O16:P16"/>
    <mergeCell ref="Q16:R16"/>
    <mergeCell ref="C17:D17"/>
    <mergeCell ref="E17:F17"/>
    <mergeCell ref="G17:H17"/>
    <mergeCell ref="I17:J17"/>
    <mergeCell ref="K17:L17"/>
    <mergeCell ref="M17:N17"/>
    <mergeCell ref="O17:P17"/>
    <mergeCell ref="Q17:R17"/>
    <mergeCell ref="C16:D16"/>
    <mergeCell ref="E16:F16"/>
    <mergeCell ref="G16:H16"/>
    <mergeCell ref="I16:J16"/>
    <mergeCell ref="K16:L16"/>
    <mergeCell ref="M16:N16"/>
  </mergeCells>
  <conditionalFormatting sqref="W4">
    <cfRule type="containsText" dxfId="23" priority="17" operator="containsText" text="NO">
      <formula>NOT(ISERROR(SEARCH("NO",W4)))</formula>
    </cfRule>
    <cfRule type="containsText" dxfId="22" priority="18" operator="containsText" text="YES">
      <formula>NOT(ISERROR(SEARCH("YES",W4)))</formula>
    </cfRule>
  </conditionalFormatting>
  <conditionalFormatting sqref="W5">
    <cfRule type="containsText" dxfId="21" priority="15" operator="containsText" text="NO">
      <formula>NOT(ISERROR(SEARCH("NO",W5)))</formula>
    </cfRule>
    <cfRule type="containsText" dxfId="20" priority="16" operator="containsText" text="YES">
      <formula>NOT(ISERROR(SEARCH("YES",W5)))</formula>
    </cfRule>
  </conditionalFormatting>
  <conditionalFormatting sqref="M3:M4">
    <cfRule type="cellIs" dxfId="19" priority="19" operator="notBetween">
      <formula>-127</formula>
      <formula>127</formula>
    </cfRule>
  </conditionalFormatting>
  <conditionalFormatting sqref="N6">
    <cfRule type="containsText" dxfId="18" priority="22" operator="containsText" text="NO">
      <formula>NOT(ISERROR(SEARCH("NO",N6)))</formula>
    </cfRule>
    <cfRule type="containsText" dxfId="17" priority="23" operator="containsText" text="YES">
      <formula>NOT(ISERROR(SEARCH("YES",N6)))</formula>
    </cfRule>
  </conditionalFormatting>
  <conditionalFormatting sqref="R6">
    <cfRule type="containsText" dxfId="16" priority="20" operator="containsText" text="NO">
      <formula>NOT(ISERROR(SEARCH("NO",R6)))</formula>
    </cfRule>
    <cfRule type="containsText" dxfId="15" priority="21" operator="containsText" text="YES">
      <formula>NOT(ISERROR(SEARCH("YES",R6)))</formula>
    </cfRule>
  </conditionalFormatting>
  <conditionalFormatting sqref="N22">
    <cfRule type="containsText" dxfId="14" priority="4" operator="containsText" text="NO">
      <formula>NOT(ISERROR(SEARCH("NO",N22)))</formula>
    </cfRule>
    <cfRule type="containsText" dxfId="13" priority="5" operator="containsText" text="YES">
      <formula>NOT(ISERROR(SEARCH("YES",N22)))</formula>
    </cfRule>
  </conditionalFormatting>
  <conditionalFormatting sqref="R22">
    <cfRule type="containsText" dxfId="12" priority="2" operator="containsText" text="NO">
      <formula>NOT(ISERROR(SEARCH("NO",R22)))</formula>
    </cfRule>
    <cfRule type="containsText" dxfId="11" priority="3" operator="containsText" text="YES">
      <formula>NOT(ISERROR(SEARCH("YES",R22)))</formula>
    </cfRule>
  </conditionalFormatting>
  <pageMargins left="0.7" right="0.7" top="0.75" bottom="0.75" header="0.3" footer="0.3"/>
  <ignoredErrors>
    <ignoredError sqref="D12:P12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9"/>
  <sheetViews>
    <sheetView topLeftCell="B8" workbookViewId="0">
      <selection activeCell="D50" sqref="D50"/>
    </sheetView>
  </sheetViews>
  <sheetFormatPr baseColWidth="10" defaultColWidth="8.83203125" defaultRowHeight="14" x14ac:dyDescent="0"/>
  <cols>
    <col min="1" max="28" width="5.6640625" customWidth="1"/>
    <col min="29" max="29" width="8" customWidth="1"/>
    <col min="30" max="67" width="5.6640625" customWidth="1"/>
  </cols>
  <sheetData>
    <row r="1" spans="1:60" ht="18">
      <c r="C1" s="15" t="s">
        <v>129</v>
      </c>
      <c r="S1" s="16"/>
      <c r="AL1" s="2"/>
      <c r="AM1" s="2"/>
    </row>
    <row r="2" spans="1:60" ht="16" customHeight="1">
      <c r="A2" s="17"/>
      <c r="B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 t="s">
        <v>38</v>
      </c>
      <c r="T2" s="17"/>
      <c r="U2" s="17"/>
      <c r="V2" s="17"/>
      <c r="W2" s="17"/>
      <c r="X2" s="18" t="s">
        <v>0</v>
      </c>
      <c r="Y2" s="19"/>
      <c r="Z2" s="75">
        <f>IF($AC$2&gt;=0,0,1)</f>
        <v>0</v>
      </c>
      <c r="AA2" s="42"/>
      <c r="AB2" s="19" t="s">
        <v>1</v>
      </c>
      <c r="AC2" s="20">
        <v>3</v>
      </c>
      <c r="AD2" s="21" t="s">
        <v>24</v>
      </c>
      <c r="AE2" t="s">
        <v>71</v>
      </c>
      <c r="AF2" s="17"/>
      <c r="AG2" s="17"/>
      <c r="AH2" s="17"/>
      <c r="AI2" s="17"/>
      <c r="AJ2" s="17"/>
      <c r="AM2" s="10"/>
      <c r="AN2" s="4"/>
      <c r="AO2" s="4"/>
      <c r="AP2" s="4"/>
      <c r="AQ2" s="4"/>
      <c r="AR2" s="4"/>
      <c r="AS2" s="4"/>
      <c r="AT2" s="4"/>
      <c r="AU2" s="4"/>
      <c r="AV2" s="4"/>
      <c r="AW2" s="4"/>
      <c r="AX2" s="10"/>
      <c r="AY2" s="3"/>
      <c r="AZ2" s="3"/>
      <c r="BA2" s="3"/>
      <c r="BB2" s="3"/>
      <c r="BC2" s="3"/>
      <c r="BD2" s="3"/>
      <c r="BE2" s="3"/>
    </row>
    <row r="3" spans="1:60" ht="16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 t="s">
        <v>2</v>
      </c>
      <c r="T3" s="17"/>
      <c r="U3" s="17"/>
      <c r="V3" s="22">
        <v>1</v>
      </c>
      <c r="W3" s="17"/>
      <c r="X3" s="18" t="s">
        <v>3</v>
      </c>
      <c r="Y3" s="19"/>
      <c r="Z3" s="75">
        <f>IF($AC$3&gt;=0,0,1)</f>
        <v>0</v>
      </c>
      <c r="AA3" s="42"/>
      <c r="AB3" s="19" t="s">
        <v>4</v>
      </c>
      <c r="AC3" s="20">
        <v>4</v>
      </c>
      <c r="AD3" s="21" t="s">
        <v>24</v>
      </c>
      <c r="AE3" t="s">
        <v>71</v>
      </c>
      <c r="AF3" s="17"/>
      <c r="AG3" s="17"/>
      <c r="AH3" s="17"/>
      <c r="AI3" s="17"/>
      <c r="AJ3" s="17"/>
      <c r="AM3" s="10"/>
      <c r="AN3" s="4"/>
      <c r="AO3" s="4"/>
      <c r="AP3" s="4"/>
      <c r="AQ3" s="4"/>
      <c r="AR3" s="4"/>
      <c r="AS3" s="4"/>
      <c r="AT3" s="4"/>
      <c r="AU3" s="4"/>
      <c r="AV3" s="4"/>
      <c r="AW3" s="4"/>
      <c r="AX3" s="10"/>
      <c r="AY3" s="3"/>
      <c r="AZ3" s="3"/>
      <c r="BA3" s="3"/>
      <c r="BB3" s="3"/>
      <c r="BC3" s="3"/>
      <c r="BD3" s="3"/>
      <c r="BE3" s="3"/>
    </row>
    <row r="4" spans="1:60" ht="16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 t="s">
        <v>5</v>
      </c>
      <c r="AC4" s="23">
        <f>IF(V3,AC2-AC3,AC2+AC3)</f>
        <v>-1</v>
      </c>
      <c r="AD4" s="17"/>
      <c r="AF4" s="17"/>
      <c r="AG4" s="17"/>
      <c r="AH4" s="17"/>
      <c r="AI4" s="17"/>
      <c r="AJ4" s="17"/>
      <c r="AM4" s="10"/>
      <c r="AN4" s="4"/>
      <c r="AO4" s="4"/>
      <c r="AP4" s="4"/>
      <c r="AQ4" s="4"/>
      <c r="AR4" s="4"/>
      <c r="AS4" s="4"/>
      <c r="AT4" s="4"/>
      <c r="AU4" s="4"/>
      <c r="AV4" s="4"/>
      <c r="AW4" s="4"/>
      <c r="AX4" s="10"/>
      <c r="AY4" s="3"/>
      <c r="AZ4" s="3"/>
      <c r="BA4" s="3"/>
      <c r="BB4" s="3"/>
      <c r="BC4" s="3"/>
      <c r="BD4" s="3"/>
      <c r="BE4" s="3"/>
    </row>
    <row r="5" spans="1:60" ht="16" customHeight="1" thickBot="1">
      <c r="Q5" s="45" t="s">
        <v>47</v>
      </c>
      <c r="R5" s="45"/>
      <c r="S5" s="45"/>
      <c r="T5" s="45"/>
      <c r="U5" s="45"/>
      <c r="V5" s="45"/>
      <c r="W5" s="45"/>
      <c r="X5" s="227">
        <f>AG16+2*AE16+4*AC16+8*AA16+16*Y16+32*W16+64*U16+128*S16+256*Q16+512*O16+1024*M16+2048*K16+4096*I16+8192*(G16+2*E16-4*C16)</f>
        <v>-5</v>
      </c>
      <c r="Y5" s="228"/>
      <c r="Z5" s="45" t="s">
        <v>20</v>
      </c>
      <c r="AA5" s="45"/>
      <c r="AB5" s="45"/>
      <c r="AC5" s="45"/>
      <c r="AD5" s="39" t="str">
        <f>IF(X5=AC4,"YES","NO")</f>
        <v>NO</v>
      </c>
      <c r="AE5" s="45" t="s">
        <v>21</v>
      </c>
      <c r="AF5" s="45"/>
      <c r="AG5" s="45"/>
      <c r="AH5" s="37" t="str">
        <f>IF(C8&lt;&gt;D8,"NO",IF(AND(C8=D8,C8=C16),"NO","YES"))</f>
        <v>NO</v>
      </c>
      <c r="AM5" s="2"/>
      <c r="AN5" s="4"/>
      <c r="AO5" s="4"/>
      <c r="AP5" s="4"/>
      <c r="AQ5" s="4"/>
      <c r="AR5" s="4"/>
      <c r="AS5" s="4"/>
      <c r="AT5" s="4"/>
      <c r="AU5" s="4"/>
      <c r="AV5" s="4"/>
      <c r="AW5" s="4"/>
      <c r="AX5" s="10"/>
      <c r="AY5" s="3"/>
      <c r="AZ5" s="3"/>
      <c r="BA5" s="3"/>
      <c r="BB5" s="3"/>
      <c r="BC5" s="3"/>
      <c r="BD5" s="3"/>
      <c r="BE5" s="3"/>
    </row>
    <row r="6" spans="1:60" s="29" customFormat="1" ht="16" customHeight="1">
      <c r="A6" s="24"/>
      <c r="B6" s="24"/>
      <c r="C6" s="53" t="s">
        <v>41</v>
      </c>
      <c r="D6" s="54" t="s">
        <v>41</v>
      </c>
      <c r="E6" s="26" t="s">
        <v>41</v>
      </c>
      <c r="F6" s="26" t="s">
        <v>41</v>
      </c>
      <c r="G6" s="54" t="s">
        <v>41</v>
      </c>
      <c r="H6" s="54" t="s">
        <v>41</v>
      </c>
      <c r="I6" s="26" t="s">
        <v>41</v>
      </c>
      <c r="J6" s="26" t="s">
        <v>41</v>
      </c>
      <c r="K6" s="54" t="s">
        <v>41</v>
      </c>
      <c r="L6" s="54" t="s">
        <v>41</v>
      </c>
      <c r="M6" s="26" t="s">
        <v>41</v>
      </c>
      <c r="N6" s="26" t="s">
        <v>41</v>
      </c>
      <c r="O6" s="54" t="s">
        <v>41</v>
      </c>
      <c r="P6" s="54" t="s">
        <v>41</v>
      </c>
      <c r="Q6" s="26" t="s">
        <v>41</v>
      </c>
      <c r="R6" s="26" t="s">
        <v>41</v>
      </c>
      <c r="S6" s="54" t="s">
        <v>41</v>
      </c>
      <c r="T6" s="54" t="s">
        <v>41</v>
      </c>
      <c r="U6" s="26" t="s">
        <v>41</v>
      </c>
      <c r="V6" s="26" t="s">
        <v>41</v>
      </c>
      <c r="W6" s="54" t="s">
        <v>41</v>
      </c>
      <c r="X6" s="54" t="s">
        <v>41</v>
      </c>
      <c r="Y6" s="26" t="s">
        <v>41</v>
      </c>
      <c r="Z6" s="26" t="s">
        <v>41</v>
      </c>
      <c r="AA6" s="54" t="s">
        <v>41</v>
      </c>
      <c r="AB6" s="54" t="s">
        <v>41</v>
      </c>
      <c r="AC6" s="26" t="s">
        <v>41</v>
      </c>
      <c r="AD6" s="26" t="s">
        <v>41</v>
      </c>
      <c r="AE6" s="54" t="s">
        <v>41</v>
      </c>
      <c r="AF6" s="54" t="s">
        <v>41</v>
      </c>
      <c r="AG6" s="26" t="s">
        <v>41</v>
      </c>
      <c r="AH6" s="27" t="s">
        <v>41</v>
      </c>
      <c r="AI6" s="24"/>
      <c r="AJ6" s="25"/>
      <c r="AK6" s="28"/>
      <c r="AM6" s="2"/>
      <c r="AN6" s="4"/>
      <c r="AO6" s="4"/>
      <c r="AP6" s="4"/>
      <c r="AQ6" s="4"/>
      <c r="AR6" s="4"/>
      <c r="AS6" s="4"/>
      <c r="AT6" s="4"/>
      <c r="AU6" s="4"/>
      <c r="AV6" s="4"/>
      <c r="AW6" s="68"/>
      <c r="AX6" s="10"/>
      <c r="AY6" s="3"/>
      <c r="AZ6" s="71"/>
      <c r="BA6" s="71"/>
      <c r="BB6" s="71"/>
      <c r="BC6" s="71"/>
      <c r="BD6" s="71"/>
      <c r="BE6" s="71"/>
    </row>
    <row r="7" spans="1:60" ht="16" customHeight="1">
      <c r="A7" s="30"/>
      <c r="B7" s="30"/>
      <c r="C7" s="55" t="s">
        <v>107</v>
      </c>
      <c r="D7" s="56" t="s">
        <v>108</v>
      </c>
      <c r="E7" s="31" t="s">
        <v>72</v>
      </c>
      <c r="F7" s="31" t="s">
        <v>73</v>
      </c>
      <c r="G7" s="56" t="s">
        <v>74</v>
      </c>
      <c r="H7" s="56" t="s">
        <v>75</v>
      </c>
      <c r="I7" s="31" t="s">
        <v>76</v>
      </c>
      <c r="J7" s="31" t="s">
        <v>77</v>
      </c>
      <c r="K7" s="56" t="s">
        <v>78</v>
      </c>
      <c r="L7" s="56" t="s">
        <v>79</v>
      </c>
      <c r="M7" s="31" t="s">
        <v>80</v>
      </c>
      <c r="N7" s="31" t="s">
        <v>81</v>
      </c>
      <c r="O7" s="56" t="s">
        <v>82</v>
      </c>
      <c r="P7" s="56" t="s">
        <v>83</v>
      </c>
      <c r="Q7" s="31" t="s">
        <v>84</v>
      </c>
      <c r="R7" s="31" t="s">
        <v>85</v>
      </c>
      <c r="S7" s="56" t="s">
        <v>43</v>
      </c>
      <c r="T7" s="56" t="s">
        <v>44</v>
      </c>
      <c r="U7" s="31" t="s">
        <v>6</v>
      </c>
      <c r="V7" s="31" t="s">
        <v>7</v>
      </c>
      <c r="W7" s="56" t="s">
        <v>8</v>
      </c>
      <c r="X7" s="56" t="s">
        <v>9</v>
      </c>
      <c r="Y7" s="31" t="s">
        <v>10</v>
      </c>
      <c r="Z7" s="31" t="s">
        <v>11</v>
      </c>
      <c r="AA7" s="56" t="s">
        <v>12</v>
      </c>
      <c r="AB7" s="56" t="s">
        <v>13</v>
      </c>
      <c r="AC7" s="31" t="s">
        <v>14</v>
      </c>
      <c r="AD7" s="31" t="s">
        <v>15</v>
      </c>
      <c r="AE7" s="56" t="s">
        <v>16</v>
      </c>
      <c r="AF7" s="56" t="s">
        <v>17</v>
      </c>
      <c r="AG7" s="31" t="s">
        <v>18</v>
      </c>
      <c r="AH7" s="32" t="s">
        <v>19</v>
      </c>
      <c r="AI7" s="33"/>
      <c r="AM7" s="2"/>
      <c r="AN7" s="4"/>
      <c r="AO7" s="4"/>
      <c r="AP7" s="4"/>
      <c r="AQ7" s="4"/>
      <c r="AR7" s="4"/>
      <c r="AS7" s="4"/>
      <c r="AT7" s="4"/>
      <c r="AU7" s="4"/>
      <c r="AV7" s="4"/>
      <c r="AW7" s="68"/>
      <c r="AX7" s="10"/>
      <c r="AY7" s="3"/>
      <c r="AZ7" s="3"/>
      <c r="BA7" s="3"/>
      <c r="BB7" s="3"/>
      <c r="BC7" s="3"/>
      <c r="BD7" s="3"/>
      <c r="BE7" s="3"/>
    </row>
    <row r="8" spans="1:60" ht="16" customHeight="1" thickBot="1">
      <c r="A8" s="30"/>
      <c r="B8" s="30"/>
      <c r="C8" s="63">
        <f>IF(AC2&gt;=0,0,1)</f>
        <v>0</v>
      </c>
      <c r="D8" s="62">
        <f>IF($V$3,NOT(Z3),Z3)*1</f>
        <v>1</v>
      </c>
      <c r="E8" s="64">
        <f>IF($Z$2,AND((65536+$AC$2)&gt;=16384,ISODD((65536+$AC$2)/16384)),AND($AC$2&gt;=16384,ISODD($AC$2/16384)))*1</f>
        <v>0</v>
      </c>
      <c r="F8" s="61">
        <f>IF($V$3,NOT(IF($Z$3,AND((65536+$AC$3)&gt;=16384,ISODD((65536+$AC$3)/16384)),AND($AC$3&gt;=16384,ISODD($AC$3/16384)))),IF($Z$3,AND((65536+$AC$3)&gt;=16384,ISODD((65536+$AC$3)/16384)),AND($AC$3&gt;=16384,ISODD($AC$3/16384))))*1</f>
        <v>1</v>
      </c>
      <c r="G8" s="62">
        <f>IF($Z$2,AND((65536+$AC$2)&gt;=8192,ISODD((65536+$AC$2)/8192)),AND($AC$2&gt;=8192,ISODD($AC$2/8192)))*1</f>
        <v>0</v>
      </c>
      <c r="H8" s="62">
        <f>IF($V$3,NOT(IF($Z$3,AND((65536+$AC$3)&gt;=8192,ISODD((65536+$AC$3)/8192)),AND($AC$3&gt;=8192,ISODD($AC$3/8192)))),IF($Z$3,AND((65536+$AC$3)&gt;=8192,ISODD((65536+$AC$3)/8192)),AND($AC$3&gt;=8192,ISODD($AC$3/8192))))*1</f>
        <v>1</v>
      </c>
      <c r="I8" s="64">
        <f>IF($Z$2,AND((65536+$AC$2)&gt;=4096,ISODD((65536+$AC$2)/4096)),AND($AC$2&gt;=4096,ISODD($AC$2/4096)))*1</f>
        <v>0</v>
      </c>
      <c r="J8" s="61">
        <f>IF($V$3,NOT(IF($Z$3,AND((65536+$AC$3)&gt;=4096,ISODD((65536+$AC$3)/4096)),AND($AC$3&gt;=4096,ISODD($AC$3/4096)))),IF($Z$3,AND((65536+$AC$3)&gt;=4096,ISODD((65536+$AC$3)/4096)),AND($AC$3&gt;=4096,ISODD($AC$3/4096))))*1</f>
        <v>1</v>
      </c>
      <c r="K8" s="62">
        <f>IF($Z$2,AND((65536+$AC$2)&gt;=2048,ISODD((65536+$AC$2)/2048)),AND($AC$2&gt;=2048,ISODD($AC$2/2048)))*1</f>
        <v>0</v>
      </c>
      <c r="L8" s="62">
        <f>IF($V$3,NOT(IF($Z$3,AND((65536+$AC$3)&gt;=2048,ISODD((65536+$AC$3)/2048)),AND($AC$3&gt;=2048,ISODD($AC$3/2048)))),IF($Z$3,AND((65536+$AC$3)&gt;=2048,ISODD((65536+$AC$3)/2048)),AND($AC$3&gt;=2048,ISODD($AC$3/2048))))*1</f>
        <v>1</v>
      </c>
      <c r="M8" s="64">
        <f>IF($Z$2,AND((65536+$AC$2)&gt;=1024,ISODD((65536+$AC$2)/1024)),AND($AC$2&gt;=1024,ISODD($AC$2/1024)))*1</f>
        <v>0</v>
      </c>
      <c r="N8" s="61">
        <f>IF($V$3,NOT(IF($Z$3,AND((65536+$AC$3)&gt;=1024,ISODD((65536+$AC$3)/1024)),AND($AC$3&gt;=1024,ISODD($AC$3/1024)))),IF($Z$3,AND((65536+$AC$3)&gt;=1024,ISODD((65536+$AC$3)/1024)),AND($AC$3&gt;=1024,ISODD($AC$3/1024))))*1</f>
        <v>1</v>
      </c>
      <c r="O8" s="62">
        <f>IF($Z$2,AND((65536+$AC$2)&gt;=512,ISODD((65536+$AC$2)/512)),AND($AC$2&gt;=512,ISODD($AC$2/512)))*1</f>
        <v>0</v>
      </c>
      <c r="P8" s="62">
        <f>IF($V$3,NOT(IF($Z$3,AND((65536+$AC$3)&gt;=512,ISODD((65536+$AC$3)/512)),AND($AC$3&gt;=512,ISODD($AC$3/512)))),IF($Z$3,AND((65536+$AC$3)&gt;=512,ISODD((65536+$AC$3)/512)),AND($AC$3&gt;=512,ISODD($AC$3/512))))*1</f>
        <v>1</v>
      </c>
      <c r="Q8" s="62">
        <f>IF($Z$2,AND((65536+$AC$2)&gt;=256,ISODD((65536+$AC$2)/256)),AND($AC$2&gt;=256,ISODD($AC$2/256)))*1</f>
        <v>0</v>
      </c>
      <c r="R8" s="62">
        <f>IF($V$3,NOT(IF($Z$3,AND((65536+$AC$3)&gt;=256,ISODD((65536+$AC$3)/256)),AND($AC$3&gt;=256,ISODD($AC$3/256)))),IF($Z$3,AND((65536+$AC$3)&gt;=256,ISODD((65536+$AC$3)/256)),AND($AC$3&gt;=256,ISODD($AC$3/256))))*1</f>
        <v>1</v>
      </c>
      <c r="S8" s="62">
        <f>IF($Z$2,AND((65536+$AC2)&gt;=128,ISODD((65536+$AC2)/128)),AND($AC2&gt;=128,ISODD($AC2/128)))*1</f>
        <v>0</v>
      </c>
      <c r="T8" s="62">
        <f>IF($V$3,NOT(IF($Z$3,AND((65536+$AC$3)&gt;=128,ISODD((65536+$AC$3)/128)),AND($AC$3&gt;=128,ISODD($AC$3/128)))),IF($Z$3,AND((65536+$AC$3)&gt;=128,ISODD((65536+$AC$3)/128)),AND($AC$3&gt;=128,ISODD($AC$3/128))))*1</f>
        <v>1</v>
      </c>
      <c r="U8" s="64">
        <f>IF($Z$2,AND((65536+$AC2)&gt;=64,ISODD((65536+$AC2)/64)),AND($AC2&gt;=64,ISODD($AC2/64)))*1</f>
        <v>0</v>
      </c>
      <c r="V8" s="61">
        <f>IF($V$3,NOT(IF($Z$3,AND((65536+$AC$3)&gt;=64,ISODD((65536+$AC$3)/64)),AND($AC$3&gt;=64,ISODD($AC$3/64)))),IF($Z$3,AND((65536+$AC$3)&gt;=64,ISODD((65536+$AC$3)/64)),AND($AC$3&gt;=64,ISODD($AC$3/64))))*1</f>
        <v>1</v>
      </c>
      <c r="W8" s="62">
        <f>IF($Z$2,AND((65536+$AC$2)&gt;=32,ISODD((65536+$AC$2)/32)),AND($AC$2&gt;=32,ISODD($AC$2/32)))*1</f>
        <v>0</v>
      </c>
      <c r="X8" s="62">
        <f>IF($V$3,NOT(IF($Z$3,AND((65536+$AC$3)&gt;=32,ISODD((65536+$AC$3)/32)),AND($AC$3&gt;=32,ISODD($AC$3/32)))),IF($Z$3,AND((65536+$AC$3)&gt;=32,ISODD((65536+$AC$3)/32)),AND($AC$3&gt;=32,ISODD($AC$3/32))))*1</f>
        <v>1</v>
      </c>
      <c r="Y8" s="64">
        <f>IF($Z$2,AND((65536+$AC$2)&gt;=16,ISODD((65536+$AC$2)/16)),AND($AC$2&gt;=16,ISODD($AC$2/16)))*1</f>
        <v>0</v>
      </c>
      <c r="Z8" s="61">
        <f>IF($V$3,NOT(IF($Z$3,AND((65536+$AC$3)&gt;=16,ISODD((65536+$AC$3)/16)),AND($AC$3&gt;=16,ISODD($AC$3/16)))),IF($Z$3,AND((65536+$AC$3)&gt;=16,ISODD((65536+$AC$3)/16)),AND($AC$3&gt;=16,ISODD($AC$3/16))))*1</f>
        <v>1</v>
      </c>
      <c r="AA8" s="62">
        <f>IF($Z$2,AND((65536+$AC$2)&gt;=8,ISODD((65536+$AC$2)/8)),AND($AC$2&gt;=8,ISODD($AC$2/8)))*1</f>
        <v>0</v>
      </c>
      <c r="AB8" s="62">
        <f>IF($V$3,NOT(IF($Z$3,AND((65536+$AC$3)&gt;=8,ISODD((65536+$AC$3)/8)),AND($AC$3&gt;=8,ISODD($AC$3/8)))),IF($Z$3,AND((65536+$AC$3)&gt;=8,ISODD((65536+$AC$3)/8)),AND($AC$3&gt;=8,ISODD($AC$3/8))))*1</f>
        <v>1</v>
      </c>
      <c r="AC8" s="64">
        <f>IF($Z$2,AND((65536+$AC$2)&gt;=4,ISODD((65536+$AC$2)/4)),AND($AC$2&gt;=4,ISODD($AC$2/4)))*1</f>
        <v>0</v>
      </c>
      <c r="AD8" s="61">
        <f>IF($V$3,NOT(IF($Z$3,AND((65536+$AC$3)&gt;=4,ISODD((65536+$AC$3)/4)),AND($AC$3&gt;=4,ISODD($AC$3/4)))),IF($Z$3,AND((65536+$AC$3)&gt;=4,ISODD((65536+$AC$3)/4)),AND($AC$3&gt;=4,ISODD($AC$3/4))))*1</f>
        <v>0</v>
      </c>
      <c r="AE8" s="62">
        <f>IF($Z$2,AND((65536+$AC$2)&gt;=2,ISODD((65536+$AC$2)/2)),AND($AC$2&gt;=2,ISODD($AC$2/2)))*1</f>
        <v>1</v>
      </c>
      <c r="AF8" s="62">
        <f>IF($V$3,NOT(IF($Z$3,AND((65536+$AC$3)&gt;=2,ISODD((65536+$AC$3)/2)),AND($AC$3&gt;=2,ISODD($AC$3/2)))),IF($Z$3,AND((65536+$AC$3)&gt;=2,ISODD((65536+$AC$3)/2)),AND($AC$3&gt;=2,ISODD($AC$3/2))))*1</f>
        <v>1</v>
      </c>
      <c r="AG8" s="64">
        <f>IF($Z$2,ISODD(65536+$AC$2),ISODD($AC$2))*1</f>
        <v>1</v>
      </c>
      <c r="AH8" s="65">
        <f>IF($V$3,NOT(IF($Z$3,ISODD(65536+$AC$3),ISODD($AC$3))),IF($Z$3,ISODD(65536+$AC$3),ISODD($AC$3)))*1</f>
        <v>1</v>
      </c>
      <c r="AI8" s="33"/>
      <c r="AJ8" s="25"/>
      <c r="AK8" s="28"/>
      <c r="AM8" s="2"/>
      <c r="AN8" s="4"/>
      <c r="AO8" s="4"/>
      <c r="AP8" s="4"/>
      <c r="AQ8" s="4"/>
      <c r="AR8" s="4"/>
      <c r="AS8" s="4"/>
      <c r="AT8" s="4"/>
      <c r="AU8" s="4"/>
      <c r="AV8" s="4"/>
      <c r="AW8" s="68"/>
      <c r="AX8" s="10"/>
      <c r="AY8" s="3"/>
      <c r="AZ8" s="3"/>
      <c r="BA8" s="3"/>
      <c r="BB8" s="3"/>
      <c r="BC8" s="3"/>
      <c r="BD8" s="3"/>
      <c r="BE8" s="3"/>
    </row>
    <row r="9" spans="1:60" ht="16" customHeight="1">
      <c r="A9" s="30"/>
      <c r="B9" s="30"/>
      <c r="C9" s="13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41">
        <f>AND(AG8,AH8)*1</f>
        <v>1</v>
      </c>
      <c r="AH9" s="142">
        <f>IF(AG8,NOT(AH8),AH8)*1</f>
        <v>0</v>
      </c>
      <c r="AI9" s="24" t="s">
        <v>64</v>
      </c>
      <c r="AJ9" s="24" t="s">
        <v>65</v>
      </c>
      <c r="AK9" s="69"/>
      <c r="AM9" s="2"/>
      <c r="AN9" s="10"/>
      <c r="AO9" s="10"/>
      <c r="AP9" s="10"/>
      <c r="AQ9" s="10"/>
      <c r="AR9" s="10"/>
      <c r="AS9" s="10"/>
      <c r="AT9" s="10"/>
      <c r="AU9" s="10"/>
      <c r="AV9" s="10"/>
      <c r="AW9" s="70"/>
      <c r="AX9" s="10"/>
      <c r="AY9" s="2"/>
      <c r="AZ9" s="2"/>
      <c r="BA9" s="2"/>
      <c r="BB9" s="2"/>
      <c r="BC9" s="2"/>
      <c r="BD9" s="2"/>
      <c r="BE9" s="2"/>
      <c r="BF9" s="1"/>
      <c r="BG9" s="1"/>
      <c r="BH9" s="1"/>
    </row>
    <row r="10" spans="1:60" ht="16" customHeight="1">
      <c r="A10" s="30"/>
      <c r="B10" s="30"/>
      <c r="C10" s="137" t="s">
        <v>115</v>
      </c>
      <c r="D10" s="90" t="s">
        <v>116</v>
      </c>
      <c r="E10" s="43" t="s">
        <v>86</v>
      </c>
      <c r="F10" s="43" t="s">
        <v>87</v>
      </c>
      <c r="G10" s="90" t="s">
        <v>88</v>
      </c>
      <c r="H10" s="90" t="s">
        <v>89</v>
      </c>
      <c r="I10" s="43" t="s">
        <v>90</v>
      </c>
      <c r="J10" s="43" t="s">
        <v>91</v>
      </c>
      <c r="K10" s="90" t="s">
        <v>92</v>
      </c>
      <c r="L10" s="90" t="s">
        <v>93</v>
      </c>
      <c r="M10" s="43" t="s">
        <v>94</v>
      </c>
      <c r="N10" s="43" t="s">
        <v>95</v>
      </c>
      <c r="O10" s="90" t="s">
        <v>96</v>
      </c>
      <c r="P10" s="90" t="s">
        <v>97</v>
      </c>
      <c r="Q10" s="43" t="s">
        <v>98</v>
      </c>
      <c r="R10" s="43" t="s">
        <v>99</v>
      </c>
      <c r="S10" s="90" t="s">
        <v>50</v>
      </c>
      <c r="T10" s="90" t="s">
        <v>51</v>
      </c>
      <c r="U10" s="43" t="s">
        <v>52</v>
      </c>
      <c r="V10" s="43" t="s">
        <v>53</v>
      </c>
      <c r="W10" s="90" t="s">
        <v>54</v>
      </c>
      <c r="X10" s="90" t="s">
        <v>55</v>
      </c>
      <c r="Y10" s="43" t="s">
        <v>56</v>
      </c>
      <c r="Z10" s="43" t="s">
        <v>57</v>
      </c>
      <c r="AA10" s="90" t="s">
        <v>58</v>
      </c>
      <c r="AB10" s="90" t="s">
        <v>59</v>
      </c>
      <c r="AC10" s="43" t="s">
        <v>60</v>
      </c>
      <c r="AD10" s="43" t="s">
        <v>61</v>
      </c>
      <c r="AE10" s="90" t="s">
        <v>62</v>
      </c>
      <c r="AF10" s="90" t="s">
        <v>63</v>
      </c>
      <c r="AG10" s="43" t="s">
        <v>66</v>
      </c>
      <c r="AH10" s="138" t="s">
        <v>139</v>
      </c>
      <c r="AI10" s="35"/>
      <c r="AJ10" s="35"/>
      <c r="AK10" s="69"/>
      <c r="AM10" s="2"/>
      <c r="AN10" s="10"/>
      <c r="AO10" s="10"/>
      <c r="AP10" s="10"/>
      <c r="AQ10" s="10"/>
      <c r="AR10" s="10"/>
      <c r="AS10" s="10"/>
      <c r="AT10" s="10"/>
      <c r="AU10" s="10"/>
      <c r="AV10" s="10"/>
      <c r="AW10" s="70"/>
      <c r="AX10" s="10"/>
      <c r="AY10" s="2"/>
      <c r="AZ10" s="2"/>
      <c r="BA10" s="2"/>
      <c r="BB10" s="2"/>
      <c r="BC10" s="2"/>
      <c r="BD10" s="2"/>
      <c r="BE10" s="2"/>
      <c r="BF10" s="1"/>
      <c r="BG10" s="1"/>
      <c r="BH10" s="1"/>
    </row>
    <row r="11" spans="1:60" ht="16" customHeight="1" thickBot="1">
      <c r="A11" s="30"/>
      <c r="B11" s="30"/>
      <c r="C11" s="139">
        <f>AND(C8,D8)*1</f>
        <v>0</v>
      </c>
      <c r="D11" s="134">
        <f>IF(C8,NOT(D8),D8)*1</f>
        <v>1</v>
      </c>
      <c r="E11" s="135">
        <f>AND(E8,F8)*1</f>
        <v>0</v>
      </c>
      <c r="F11" s="135">
        <f>IF(E8,NOT(F8),F8)*1</f>
        <v>1</v>
      </c>
      <c r="G11" s="134">
        <f>AND(G8,H8)*1</f>
        <v>0</v>
      </c>
      <c r="H11" s="134">
        <f>IF(G8,NOT(H8),H8)*1</f>
        <v>1</v>
      </c>
      <c r="I11" s="135">
        <f>AND(I8,J8)*1</f>
        <v>0</v>
      </c>
      <c r="J11" s="135">
        <f>IF(I8,NOT(J8),J8)*1</f>
        <v>1</v>
      </c>
      <c r="K11" s="134">
        <f>AND(K8,L8)*1</f>
        <v>0</v>
      </c>
      <c r="L11" s="134">
        <f>IF(K8,NOT(L8),L8)*1</f>
        <v>1</v>
      </c>
      <c r="M11" s="135">
        <f>AND(M8,N8)*1</f>
        <v>0</v>
      </c>
      <c r="N11" s="135">
        <f>IF(M8,NOT(N8),N8)*1</f>
        <v>1</v>
      </c>
      <c r="O11" s="134">
        <f>AND(O8,P8)*1</f>
        <v>0</v>
      </c>
      <c r="P11" s="134">
        <f>IF(O8,NOT(P8),P8)*1</f>
        <v>1</v>
      </c>
      <c r="Q11" s="135">
        <f>AND(Q8,R8)*1</f>
        <v>0</v>
      </c>
      <c r="R11" s="135">
        <f>IF(Q8,NOT(R8),R8)*1</f>
        <v>1</v>
      </c>
      <c r="S11" s="134">
        <f>AND(S8,T8)*1</f>
        <v>0</v>
      </c>
      <c r="T11" s="134">
        <f>IF(S8,NOT(T8),T8)*1</f>
        <v>1</v>
      </c>
      <c r="U11" s="135">
        <f>AND(U8,V8)*1</f>
        <v>0</v>
      </c>
      <c r="V11" s="135">
        <f>IF(U8,NOT(V8),V8)*1</f>
        <v>1</v>
      </c>
      <c r="W11" s="134">
        <f>AND(W8,X8)*1</f>
        <v>0</v>
      </c>
      <c r="X11" s="134">
        <f>IF(W8,NOT(X8),X8)*1</f>
        <v>1</v>
      </c>
      <c r="Y11" s="135">
        <f>AND(Y8,Z8)*1</f>
        <v>0</v>
      </c>
      <c r="Z11" s="135">
        <f>IF(Y8,NOT(Z8),Z8)*1</f>
        <v>1</v>
      </c>
      <c r="AA11" s="134">
        <f>AND(AA8,AB8)*1</f>
        <v>0</v>
      </c>
      <c r="AB11" s="134">
        <f>IF(AA8,NOT(AB8),AB8)*1</f>
        <v>1</v>
      </c>
      <c r="AC11" s="135">
        <f>AND(AC8,AD8)*1</f>
        <v>0</v>
      </c>
      <c r="AD11" s="135">
        <f>IF(AC8,NOT(AD8),AD8)*1</f>
        <v>0</v>
      </c>
      <c r="AE11" s="134">
        <f>AND(AE8,AF8)*1</f>
        <v>1</v>
      </c>
      <c r="AF11" s="134">
        <f>IF(AE8,NOT(AF8),AF8)*1</f>
        <v>0</v>
      </c>
      <c r="AG11" s="135">
        <f>OR(AG9,AND(AH9,$V$3))*1</f>
        <v>1</v>
      </c>
      <c r="AH11" s="140">
        <f>IF(AG11,0,AH9)*1</f>
        <v>0</v>
      </c>
      <c r="AI11" s="35"/>
      <c r="AJ11" s="132"/>
      <c r="AK11" s="60"/>
      <c r="AM11" s="2"/>
      <c r="AN11" s="10"/>
      <c r="AO11" s="10"/>
      <c r="AP11" s="10"/>
      <c r="AQ11" s="10"/>
      <c r="AR11" s="10"/>
      <c r="AS11" s="10"/>
      <c r="AT11" s="10"/>
      <c r="AU11" s="10"/>
      <c r="AV11" s="10"/>
      <c r="AW11" s="70"/>
      <c r="AX11" s="10"/>
      <c r="AY11" s="2"/>
      <c r="AZ11" s="2"/>
      <c r="BA11" s="2"/>
      <c r="BB11" s="2"/>
      <c r="BC11" s="2"/>
      <c r="BD11" s="2"/>
      <c r="BE11" s="2"/>
      <c r="BF11" s="1"/>
      <c r="BG11" s="1"/>
      <c r="BH11" s="1"/>
    </row>
    <row r="12" spans="1:60" ht="16" customHeight="1">
      <c r="A12" s="30"/>
      <c r="B12" s="30"/>
      <c r="C12" s="133"/>
      <c r="D12" s="133"/>
      <c r="E12" s="88"/>
      <c r="F12" s="88"/>
      <c r="G12" s="133"/>
      <c r="H12" s="133"/>
      <c r="I12" s="88"/>
      <c r="J12" s="88"/>
      <c r="K12" s="133"/>
      <c r="L12" s="133"/>
      <c r="M12" s="88"/>
      <c r="N12" s="88"/>
      <c r="O12" s="133"/>
      <c r="P12" s="133"/>
      <c r="Q12" s="88"/>
      <c r="R12" s="88"/>
      <c r="S12" s="133"/>
      <c r="T12" s="133"/>
      <c r="U12" s="88"/>
      <c r="V12" s="88"/>
      <c r="W12" s="133"/>
      <c r="X12" s="133"/>
      <c r="Y12" s="88"/>
      <c r="Z12" s="88"/>
      <c r="AA12" s="133"/>
      <c r="AB12" s="133"/>
      <c r="AC12" s="88"/>
      <c r="AD12" s="88"/>
      <c r="AE12" s="133"/>
      <c r="AF12" s="133"/>
      <c r="AG12" s="80"/>
      <c r="AH12" s="80"/>
      <c r="AI12" s="33"/>
      <c r="AJ12" s="76"/>
      <c r="AK12" s="60"/>
      <c r="AM12" s="2"/>
      <c r="AN12" s="10"/>
      <c r="AO12" s="10"/>
      <c r="AP12" s="10"/>
      <c r="AQ12" s="10"/>
      <c r="AR12" s="10"/>
      <c r="AS12" s="10"/>
      <c r="AT12" s="10"/>
      <c r="AU12" s="10"/>
      <c r="AV12" s="10"/>
      <c r="AW12" s="70"/>
      <c r="AX12" s="10"/>
      <c r="AY12" s="2"/>
      <c r="AZ12" s="2"/>
      <c r="BA12" s="2"/>
      <c r="BB12" s="2"/>
      <c r="BC12" s="2"/>
      <c r="BD12" s="2"/>
      <c r="BE12" s="2"/>
      <c r="BF12" s="1"/>
      <c r="BG12" s="1"/>
      <c r="BH12" s="1"/>
    </row>
    <row r="13" spans="1:60" ht="16" customHeight="1">
      <c r="A13" s="24"/>
      <c r="B13" s="24"/>
      <c r="C13" s="46"/>
      <c r="D13" s="46"/>
      <c r="E13" s="85"/>
      <c r="F13" s="85"/>
      <c r="G13" s="88"/>
      <c r="H13" s="88"/>
      <c r="I13" s="88"/>
      <c r="J13" s="88"/>
      <c r="K13" s="46"/>
      <c r="L13" s="46"/>
      <c r="M13" s="85"/>
      <c r="N13" s="85"/>
      <c r="O13" s="88"/>
      <c r="P13" s="88"/>
      <c r="Q13" s="88"/>
      <c r="R13" s="88"/>
      <c r="S13" s="46"/>
      <c r="T13" s="46"/>
      <c r="U13" s="85"/>
      <c r="V13" s="85"/>
      <c r="W13" s="88"/>
      <c r="X13" s="88"/>
      <c r="Y13" s="88"/>
      <c r="Z13" s="88"/>
      <c r="AA13" s="46"/>
      <c r="AB13" s="46"/>
      <c r="AC13" s="85"/>
      <c r="AD13" s="85"/>
      <c r="AE13" s="80"/>
      <c r="AF13" s="80"/>
      <c r="AG13" s="80"/>
      <c r="AH13" s="80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1"/>
      <c r="BG13" s="1"/>
      <c r="BH13" s="1"/>
    </row>
    <row r="14" spans="1:60" ht="16" customHeight="1">
      <c r="A14" s="36"/>
      <c r="B14" s="36"/>
      <c r="C14" s="46"/>
      <c r="D14" s="46"/>
      <c r="E14" s="12"/>
      <c r="F14" s="12"/>
      <c r="G14" s="12"/>
      <c r="H14" s="12"/>
      <c r="I14" s="12"/>
      <c r="J14" s="12"/>
      <c r="K14" s="89"/>
      <c r="L14" s="89"/>
      <c r="M14" s="89"/>
      <c r="N14" s="89"/>
      <c r="O14" s="89"/>
      <c r="P14" s="89"/>
      <c r="Q14" s="89"/>
      <c r="R14" s="89"/>
      <c r="S14" s="46"/>
      <c r="T14" s="46"/>
      <c r="U14" s="12"/>
      <c r="V14" s="12"/>
      <c r="W14" s="12"/>
      <c r="X14" s="12"/>
      <c r="Y14" s="12"/>
      <c r="Z14" s="12"/>
      <c r="AA14" s="81"/>
      <c r="AB14" s="81"/>
      <c r="AC14" s="81"/>
      <c r="AD14" s="81"/>
      <c r="AE14" s="81"/>
      <c r="AF14" s="81"/>
      <c r="AG14" s="81"/>
      <c r="AH14" s="81"/>
      <c r="AI14" s="35"/>
      <c r="AJ14" s="132"/>
      <c r="AK14" s="35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1"/>
      <c r="BG14" s="1"/>
      <c r="BH14" s="1"/>
    </row>
    <row r="15" spans="1:60" ht="16" customHeight="1">
      <c r="A15" s="36"/>
      <c r="B15" s="3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81"/>
      <c r="T15" s="81"/>
      <c r="U15" s="89"/>
      <c r="V15" s="89"/>
      <c r="W15" s="89"/>
      <c r="X15" s="89"/>
      <c r="Y15" s="89"/>
      <c r="Z15" s="89"/>
      <c r="AA15" s="81">
        <f>AA13</f>
        <v>0</v>
      </c>
      <c r="AB15" s="81"/>
      <c r="AC15" s="81">
        <f>AC13</f>
        <v>0</v>
      </c>
      <c r="AD15" s="81"/>
      <c r="AE15" s="81">
        <f>AE12</f>
        <v>0</v>
      </c>
      <c r="AF15" s="81"/>
      <c r="AG15" s="81">
        <f>AG11</f>
        <v>1</v>
      </c>
      <c r="AH15" s="81"/>
      <c r="AI15" s="51">
        <f>$V$3</f>
        <v>1</v>
      </c>
      <c r="AJ15" s="52" t="s">
        <v>118</v>
      </c>
      <c r="AK15" s="35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1"/>
      <c r="BG15" s="1"/>
      <c r="BH15" s="1"/>
    </row>
    <row r="16" spans="1:60" ht="16" customHeight="1">
      <c r="A16" s="37"/>
      <c r="B16" s="37"/>
      <c r="C16" s="182">
        <f t="shared" ref="C16" si="0">IF(E15,NOT(D11),D11)*1</f>
        <v>1</v>
      </c>
      <c r="D16" s="179"/>
      <c r="E16" s="181">
        <f t="shared" ref="E16" si="1">IF(G15,NOT(F11),F11)*1</f>
        <v>1</v>
      </c>
      <c r="F16" s="177"/>
      <c r="G16" s="182">
        <f t="shared" ref="G16" si="2">IF(I15,NOT(H11),H11)*1</f>
        <v>1</v>
      </c>
      <c r="H16" s="179"/>
      <c r="I16" s="181">
        <f t="shared" ref="I16" si="3">IF(K15,NOT(J11),J11)*1</f>
        <v>1</v>
      </c>
      <c r="J16" s="177"/>
      <c r="K16" s="182">
        <f t="shared" ref="K16" si="4">IF(M15,NOT(L11),L11)*1</f>
        <v>1</v>
      </c>
      <c r="L16" s="179"/>
      <c r="M16" s="181">
        <f t="shared" ref="M16" si="5">IF(O15,NOT(N11),N11)*1</f>
        <v>1</v>
      </c>
      <c r="N16" s="177"/>
      <c r="O16" s="182">
        <f t="shared" ref="O16" si="6">IF(Q15,NOT(P11),P11)*1</f>
        <v>1</v>
      </c>
      <c r="P16" s="179"/>
      <c r="Q16" s="181">
        <f t="shared" ref="Q16" si="7">IF(S15,NOT(R11),R11)*1</f>
        <v>1</v>
      </c>
      <c r="R16" s="177"/>
      <c r="S16" s="182">
        <f>IF(U15,NOT(T11),T11)*1</f>
        <v>1</v>
      </c>
      <c r="T16" s="179"/>
      <c r="U16" s="181">
        <f>IF(W15,NOT(V11),V11)*1</f>
        <v>1</v>
      </c>
      <c r="V16" s="177"/>
      <c r="W16" s="182">
        <f>IF(Y15,NOT(X11),X11)*1</f>
        <v>1</v>
      </c>
      <c r="X16" s="179"/>
      <c r="Y16" s="181">
        <f>IF(AA15,NOT(Z11),Z11)*1</f>
        <v>1</v>
      </c>
      <c r="Z16" s="177"/>
      <c r="AA16" s="182">
        <f>IF(AC15,NOT(AB11),AB11)*1</f>
        <v>1</v>
      </c>
      <c r="AB16" s="179"/>
      <c r="AC16" s="181">
        <f>IF(AE15,NOT(AD11),AD11)*1</f>
        <v>0</v>
      </c>
      <c r="AD16" s="177"/>
      <c r="AE16" s="182">
        <f>IF(AG15,NOT(AF11),AF11)*1</f>
        <v>1</v>
      </c>
      <c r="AF16" s="179"/>
      <c r="AG16" s="181">
        <f>IF(AI15,NOT(AH9),AH9)*1</f>
        <v>1</v>
      </c>
      <c r="AH16" s="177"/>
      <c r="AI16" s="60" t="s">
        <v>45</v>
      </c>
      <c r="AK16" s="28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229"/>
      <c r="BD16" s="230"/>
      <c r="BE16" s="230"/>
      <c r="BF16" s="2"/>
      <c r="BG16" s="1"/>
      <c r="BH16" s="1"/>
    </row>
    <row r="17" spans="1:60" ht="16" customHeight="1">
      <c r="A17" s="1"/>
      <c r="B17" s="1"/>
      <c r="C17" s="176"/>
      <c r="D17" s="177"/>
      <c r="E17" s="176" t="s">
        <v>100</v>
      </c>
      <c r="F17" s="177"/>
      <c r="G17" s="176" t="s">
        <v>101</v>
      </c>
      <c r="H17" s="177"/>
      <c r="I17" s="176" t="s">
        <v>102</v>
      </c>
      <c r="J17" s="177"/>
      <c r="K17" s="176" t="s">
        <v>103</v>
      </c>
      <c r="L17" s="177"/>
      <c r="M17" s="176" t="s">
        <v>104</v>
      </c>
      <c r="N17" s="177"/>
      <c r="O17" s="176" t="s">
        <v>105</v>
      </c>
      <c r="P17" s="177"/>
      <c r="Q17" s="176" t="s">
        <v>106</v>
      </c>
      <c r="R17" s="177"/>
      <c r="S17" s="176" t="s">
        <v>46</v>
      </c>
      <c r="T17" s="177"/>
      <c r="U17" s="176" t="s">
        <v>32</v>
      </c>
      <c r="V17" s="177"/>
      <c r="W17" s="180" t="s">
        <v>33</v>
      </c>
      <c r="X17" s="179"/>
      <c r="Y17" s="176" t="s">
        <v>34</v>
      </c>
      <c r="Z17" s="177"/>
      <c r="AA17" s="180" t="s">
        <v>35</v>
      </c>
      <c r="AB17" s="179"/>
      <c r="AC17" s="176" t="s">
        <v>36</v>
      </c>
      <c r="AD17" s="177"/>
      <c r="AE17" s="180" t="s">
        <v>37</v>
      </c>
      <c r="AF17" s="179"/>
      <c r="AG17" s="176" t="s">
        <v>31</v>
      </c>
      <c r="AH17" s="177"/>
      <c r="AK17" s="2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78"/>
      <c r="BB17" s="1"/>
      <c r="BC17" s="77"/>
      <c r="BD17" s="77"/>
      <c r="BE17" s="77"/>
      <c r="BF17" s="2"/>
      <c r="BG17" s="1"/>
      <c r="BH17" s="1"/>
    </row>
    <row r="18" spans="1:60" s="17" customFormat="1" ht="16" customHeight="1">
      <c r="C18" s="232" t="s">
        <v>41</v>
      </c>
      <c r="D18" s="232"/>
      <c r="E18" s="232" t="s">
        <v>41</v>
      </c>
      <c r="F18" s="232"/>
      <c r="G18" s="232" t="s">
        <v>41</v>
      </c>
      <c r="H18" s="232"/>
      <c r="I18" s="232" t="s">
        <v>41</v>
      </c>
      <c r="J18" s="232"/>
      <c r="K18" s="232" t="s">
        <v>41</v>
      </c>
      <c r="L18" s="232"/>
      <c r="M18" s="232" t="s">
        <v>41</v>
      </c>
      <c r="N18" s="232"/>
      <c r="O18" s="232" t="s">
        <v>41</v>
      </c>
      <c r="P18" s="232"/>
      <c r="Q18" s="232" t="s">
        <v>41</v>
      </c>
      <c r="R18" s="232"/>
      <c r="S18" s="232" t="s">
        <v>41</v>
      </c>
      <c r="T18" s="232"/>
      <c r="U18" s="232" t="s">
        <v>41</v>
      </c>
      <c r="V18" s="232"/>
      <c r="W18" s="231" t="s">
        <v>41</v>
      </c>
      <c r="X18" s="231"/>
      <c r="Y18" s="232" t="s">
        <v>41</v>
      </c>
      <c r="Z18" s="232"/>
      <c r="AA18" s="231" t="s">
        <v>41</v>
      </c>
      <c r="AB18" s="231"/>
      <c r="AC18" s="232" t="s">
        <v>41</v>
      </c>
      <c r="AD18" s="232"/>
      <c r="AE18" s="231" t="s">
        <v>41</v>
      </c>
      <c r="AF18" s="231"/>
      <c r="AG18" s="232" t="s">
        <v>41</v>
      </c>
      <c r="AH18" s="232"/>
      <c r="AI18"/>
      <c r="AJ18"/>
      <c r="AK18" s="40"/>
      <c r="AL18" s="35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44"/>
      <c r="BB18" s="72"/>
      <c r="BC18" s="1"/>
      <c r="BD18" s="1"/>
      <c r="BE18" s="1"/>
      <c r="BF18" s="78"/>
      <c r="BG18" s="1"/>
      <c r="BH18" s="72"/>
    </row>
    <row r="19" spans="1:60"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</row>
    <row r="20" spans="1:60">
      <c r="AD20" s="87"/>
    </row>
    <row r="21" spans="1:60" ht="15">
      <c r="C21" t="s">
        <v>68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60">
      <c r="C22" t="s">
        <v>67</v>
      </c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Q22" s="50" t="s">
        <v>47</v>
      </c>
      <c r="R22" s="50"/>
      <c r="S22" s="50"/>
      <c r="T22" s="50"/>
      <c r="U22" s="50"/>
      <c r="V22" s="50"/>
      <c r="W22" s="239">
        <f>AG24+2*AE24+4*AC24+8*AA24+16*Y24+32*W24+64*U24+128*S24+256*Q24+512*O24+1024*M24+2048*K24+4096*I24+8192*(G24+2*E24-4*C24)</f>
        <v>-1</v>
      </c>
      <c r="X22" s="213"/>
      <c r="Y22" s="50" t="s">
        <v>20</v>
      </c>
      <c r="Z22" s="50"/>
      <c r="AA22" s="50"/>
      <c r="AB22" s="50"/>
      <c r="AC22" s="49" t="str">
        <f>IF(W22=$AC$4,"YES","NO")</f>
        <v>YES</v>
      </c>
      <c r="AD22" s="50" t="s">
        <v>21</v>
      </c>
      <c r="AE22" s="50"/>
      <c r="AF22" s="79" t="str">
        <f>IF($C$7&lt;&gt;$D$7,"NO",IF($C$7=C24,"NO","YES"))</f>
        <v>NO</v>
      </c>
      <c r="AG22" s="76">
        <f>AG8*AH8</f>
        <v>1</v>
      </c>
      <c r="AH22" s="76">
        <f>AH9</f>
        <v>0</v>
      </c>
    </row>
    <row r="23" spans="1:60" ht="15">
      <c r="C23" s="233">
        <f>C11+D11*E23</f>
        <v>0</v>
      </c>
      <c r="D23" s="234"/>
      <c r="E23" s="235">
        <f>E11+F11*G23</f>
        <v>0</v>
      </c>
      <c r="F23" s="236"/>
      <c r="G23" s="233">
        <f>G11+H11*I23</f>
        <v>0</v>
      </c>
      <c r="H23" s="234"/>
      <c r="I23" s="235">
        <f>I11+J11*K23</f>
        <v>0</v>
      </c>
      <c r="J23" s="236"/>
      <c r="K23" s="233">
        <f>K11+L11*M23</f>
        <v>0</v>
      </c>
      <c r="L23" s="234"/>
      <c r="M23" s="235">
        <f>M11+N11*O23</f>
        <v>0</v>
      </c>
      <c r="N23" s="236"/>
      <c r="O23" s="233">
        <f>O11+P11*Q23</f>
        <v>0</v>
      </c>
      <c r="P23" s="234"/>
      <c r="Q23" s="235">
        <f>Q11+R11*S23</f>
        <v>0</v>
      </c>
      <c r="R23" s="236"/>
      <c r="S23" s="233">
        <f>S11+T11*U23</f>
        <v>0</v>
      </c>
      <c r="T23" s="234"/>
      <c r="U23" s="235">
        <f>U11+V11*W23</f>
        <v>0</v>
      </c>
      <c r="V23" s="236"/>
      <c r="W23" s="233">
        <f>W11+X11*Y23</f>
        <v>0</v>
      </c>
      <c r="X23" s="234"/>
      <c r="Y23" s="235">
        <f>Y11+Z11*AA23</f>
        <v>0</v>
      </c>
      <c r="Z23" s="236"/>
      <c r="AA23" s="233">
        <f>AA11+AB11*AC23</f>
        <v>0</v>
      </c>
      <c r="AB23" s="234"/>
      <c r="AC23" s="235">
        <f>AC11+AD11*AE23</f>
        <v>0</v>
      </c>
      <c r="AD23" s="236"/>
      <c r="AE23" s="233">
        <f>AE11+AF11*AG23</f>
        <v>1</v>
      </c>
      <c r="AF23" s="234"/>
      <c r="AG23" s="237">
        <f>AG22+AH22*AI23</f>
        <v>1</v>
      </c>
      <c r="AH23" s="238"/>
      <c r="AI23" s="76">
        <f>$V$3</f>
        <v>1</v>
      </c>
      <c r="AJ23" s="52" t="s">
        <v>118</v>
      </c>
    </row>
    <row r="24" spans="1:60">
      <c r="C24" s="233">
        <f>IF(E23,NOT(D11),D11)*1</f>
        <v>1</v>
      </c>
      <c r="D24" s="234"/>
      <c r="E24" s="237">
        <f>IF(G23,NOT(F11),F11)*1</f>
        <v>1</v>
      </c>
      <c r="F24" s="238"/>
      <c r="G24" s="233">
        <f>IF(I23,NOT(H11),H11)*1</f>
        <v>1</v>
      </c>
      <c r="H24" s="234"/>
      <c r="I24" s="237">
        <f>IF(K23,NOT(J11),J11)*1</f>
        <v>1</v>
      </c>
      <c r="J24" s="238"/>
      <c r="K24" s="233">
        <f>IF(M23,NOT(L11),L11)*1</f>
        <v>1</v>
      </c>
      <c r="L24" s="234"/>
      <c r="M24" s="237">
        <f>IF(O23,NOT(N11),N11)*1</f>
        <v>1</v>
      </c>
      <c r="N24" s="238"/>
      <c r="O24" s="233">
        <f>IF(Q23,NOT(P11),P11)*1</f>
        <v>1</v>
      </c>
      <c r="P24" s="234"/>
      <c r="Q24" s="237">
        <f>IF(S23,NOT(R11),R11)*1</f>
        <v>1</v>
      </c>
      <c r="R24" s="238"/>
      <c r="S24" s="233">
        <f>IF(U23,NOT(T11),T11)*1</f>
        <v>1</v>
      </c>
      <c r="T24" s="234"/>
      <c r="U24" s="237">
        <f>IF(V11,NOT(W23),W23)*1</f>
        <v>1</v>
      </c>
      <c r="V24" s="238"/>
      <c r="W24" s="233">
        <f>IF(Y23,NOT(X11),X11)*1</f>
        <v>1</v>
      </c>
      <c r="X24" s="234"/>
      <c r="Y24" s="237">
        <f>IF(AA23,NOT(Z11),Z11)*1</f>
        <v>1</v>
      </c>
      <c r="Z24" s="238"/>
      <c r="AA24" s="233">
        <f>IF(AB11,NOT(AC23),AC23)*1</f>
        <v>1</v>
      </c>
      <c r="AB24" s="234"/>
      <c r="AC24" s="237">
        <f>IF(AE23,NOT(AD11),AD11)*1</f>
        <v>1</v>
      </c>
      <c r="AD24" s="238"/>
      <c r="AE24" s="233">
        <f>IF(AG23,NOT(AF11),AF11)*1</f>
        <v>1</v>
      </c>
      <c r="AF24" s="234"/>
      <c r="AG24" s="237">
        <f>IF(AH22,NOT(AI23),AI23)*1</f>
        <v>1</v>
      </c>
      <c r="AH24" s="238"/>
    </row>
    <row r="26" spans="1:60">
      <c r="C26" s="9" t="s">
        <v>119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8"/>
      <c r="R26" s="48"/>
      <c r="S26" s="48"/>
      <c r="T26" s="48"/>
      <c r="U26" s="48"/>
    </row>
    <row r="27" spans="1:60">
      <c r="C27" t="s">
        <v>40</v>
      </c>
      <c r="D27" t="s">
        <v>127</v>
      </c>
    </row>
    <row r="28" spans="1:60">
      <c r="D28" t="s">
        <v>128</v>
      </c>
    </row>
    <row r="29" spans="1:60">
      <c r="C29" t="s">
        <v>110</v>
      </c>
      <c r="D29" t="s">
        <v>120</v>
      </c>
    </row>
    <row r="30" spans="1:60">
      <c r="C30" t="s">
        <v>111</v>
      </c>
      <c r="D30" t="s">
        <v>121</v>
      </c>
    </row>
    <row r="31" spans="1:60">
      <c r="D31" t="s">
        <v>135</v>
      </c>
    </row>
    <row r="32" spans="1:60">
      <c r="D32" t="s">
        <v>122</v>
      </c>
    </row>
    <row r="33" spans="3:37">
      <c r="D33" t="s">
        <v>123</v>
      </c>
    </row>
    <row r="34" spans="3:37">
      <c r="C34" t="s">
        <v>112</v>
      </c>
      <c r="D34" t="s">
        <v>136</v>
      </c>
    </row>
    <row r="35" spans="3:37">
      <c r="D35" t="s">
        <v>137</v>
      </c>
      <c r="AK35" s="59"/>
    </row>
    <row r="36" spans="3:37">
      <c r="C36" t="s">
        <v>113</v>
      </c>
      <c r="D36" t="s">
        <v>124</v>
      </c>
      <c r="AK36" s="59"/>
    </row>
    <row r="37" spans="3:37">
      <c r="C37" t="s">
        <v>114</v>
      </c>
      <c r="D37" t="s">
        <v>134</v>
      </c>
      <c r="AJ37" s="58"/>
      <c r="AK37" s="59"/>
    </row>
    <row r="38" spans="3:37">
      <c r="D38" t="s">
        <v>138</v>
      </c>
      <c r="AK38" s="59"/>
    </row>
    <row r="40" spans="3:37">
      <c r="C40" s="86" t="s">
        <v>131</v>
      </c>
      <c r="D40" t="s">
        <v>132</v>
      </c>
    </row>
    <row r="41" spans="3:37">
      <c r="D41" t="s">
        <v>133</v>
      </c>
    </row>
    <row r="44" spans="3:37">
      <c r="C44" t="s">
        <v>119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8"/>
      <c r="R44" s="48"/>
      <c r="S44" s="48"/>
      <c r="T44" s="48"/>
      <c r="U44" s="48"/>
      <c r="V44" s="48"/>
      <c r="W44" s="48"/>
      <c r="X44" s="240"/>
      <c r="Y44" s="240"/>
    </row>
    <row r="45" spans="3:37">
      <c r="C45" t="s">
        <v>40</v>
      </c>
      <c r="D45" t="s">
        <v>127</v>
      </c>
    </row>
    <row r="46" spans="3:37">
      <c r="D46" t="s">
        <v>128</v>
      </c>
    </row>
    <row r="47" spans="3:37">
      <c r="C47" t="s">
        <v>110</v>
      </c>
      <c r="D47" t="s">
        <v>120</v>
      </c>
    </row>
    <row r="48" spans="3:37">
      <c r="C48" t="s">
        <v>111</v>
      </c>
      <c r="D48" t="s">
        <v>121</v>
      </c>
    </row>
    <row r="49" spans="3:4">
      <c r="D49" t="s">
        <v>135</v>
      </c>
    </row>
    <row r="50" spans="3:4">
      <c r="D50" t="s">
        <v>122</v>
      </c>
    </row>
    <row r="51" spans="3:4">
      <c r="D51" t="s">
        <v>123</v>
      </c>
    </row>
    <row r="52" spans="3:4">
      <c r="C52" t="s">
        <v>112</v>
      </c>
      <c r="D52" t="s">
        <v>136</v>
      </c>
    </row>
    <row r="53" spans="3:4">
      <c r="D53" t="s">
        <v>137</v>
      </c>
    </row>
    <row r="54" spans="3:4">
      <c r="C54" t="s">
        <v>113</v>
      </c>
      <c r="D54" t="s">
        <v>124</v>
      </c>
    </row>
    <row r="55" spans="3:4">
      <c r="C55" t="s">
        <v>114</v>
      </c>
      <c r="D55" t="s">
        <v>134</v>
      </c>
    </row>
    <row r="56" spans="3:4">
      <c r="D56" t="s">
        <v>138</v>
      </c>
    </row>
    <row r="58" spans="3:4">
      <c r="C58" s="86" t="s">
        <v>131</v>
      </c>
      <c r="D58" t="s">
        <v>132</v>
      </c>
    </row>
    <row r="59" spans="3:4">
      <c r="D59" t="s">
        <v>133</v>
      </c>
    </row>
  </sheetData>
  <mergeCells count="84">
    <mergeCell ref="AG24:AH24"/>
    <mergeCell ref="W22:X22"/>
    <mergeCell ref="X44:Y44"/>
    <mergeCell ref="AG23:AH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Y24:Z24"/>
    <mergeCell ref="AA24:AB24"/>
    <mergeCell ref="AC24:AD24"/>
    <mergeCell ref="AE24:AF24"/>
    <mergeCell ref="AG18:AH18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W23:X23"/>
    <mergeCell ref="Y23:Z23"/>
    <mergeCell ref="AA23:AB23"/>
    <mergeCell ref="AC23:AD23"/>
    <mergeCell ref="AE23:AF23"/>
    <mergeCell ref="AG17:AH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AE18:AF18"/>
    <mergeCell ref="W17:X17"/>
    <mergeCell ref="Y17:Z17"/>
    <mergeCell ref="AA17:AB17"/>
    <mergeCell ref="AC17:AD17"/>
    <mergeCell ref="AE17:AF17"/>
    <mergeCell ref="M17:N17"/>
    <mergeCell ref="O17:P17"/>
    <mergeCell ref="Q17:R17"/>
    <mergeCell ref="S17:T17"/>
    <mergeCell ref="U17:V17"/>
    <mergeCell ref="C17:D17"/>
    <mergeCell ref="E17:F17"/>
    <mergeCell ref="G17:H17"/>
    <mergeCell ref="I17:J17"/>
    <mergeCell ref="K17:L17"/>
    <mergeCell ref="AA16:AB16"/>
    <mergeCell ref="AC16:AD16"/>
    <mergeCell ref="AE16:AF16"/>
    <mergeCell ref="AG16:AH16"/>
    <mergeCell ref="BC16:BE16"/>
    <mergeCell ref="X5:Y5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Y16:Z16"/>
  </mergeCells>
  <conditionalFormatting sqref="AC22">
    <cfRule type="containsText" dxfId="10" priority="8" operator="containsText" text="NO">
      <formula>NOT(ISERROR(SEARCH("NO",AC22)))</formula>
    </cfRule>
    <cfRule type="containsText" dxfId="9" priority="9" operator="containsText" text="YES">
      <formula>NOT(ISERROR(SEARCH("YES",AC22)))</formula>
    </cfRule>
  </conditionalFormatting>
  <conditionalFormatting sqref="AF22">
    <cfRule type="containsText" dxfId="8" priority="6" operator="containsText" text="NO">
      <formula>NOT(ISERROR(SEARCH("NO",AF22)))</formula>
    </cfRule>
    <cfRule type="containsText" dxfId="7" priority="7" operator="containsText" text="YES">
      <formula>NOT(ISERROR(SEARCH("YES",AF22)))</formula>
    </cfRule>
  </conditionalFormatting>
  <conditionalFormatting sqref="AM2:AM4">
    <cfRule type="containsText" dxfId="6" priority="10" operator="containsText" text="NO">
      <formula>NOT(ISERROR(SEARCH("NO",AM2)))</formula>
    </cfRule>
    <cfRule type="containsText" dxfId="5" priority="11" operator="containsText" text="YES">
      <formula>NOT(ISERROR(SEARCH("YES",AM2)))</formula>
    </cfRule>
  </conditionalFormatting>
  <conditionalFormatting sqref="AC2:AC3">
    <cfRule type="cellIs" dxfId="4" priority="14" operator="notBetween">
      <formula>-32768</formula>
      <formula>32768</formula>
    </cfRule>
  </conditionalFormatting>
  <conditionalFormatting sqref="AD5">
    <cfRule type="containsText" dxfId="3" priority="17" operator="containsText" text="NO">
      <formula>NOT(ISERROR(SEARCH("NO",AD5)))</formula>
    </cfRule>
    <cfRule type="containsText" dxfId="2" priority="18" operator="containsText" text="YES">
      <formula>NOT(ISERROR(SEARCH("YES",AD5)))</formula>
    </cfRule>
  </conditionalFormatting>
  <conditionalFormatting sqref="AH5">
    <cfRule type="containsText" dxfId="1" priority="15" operator="containsText" text="NO">
      <formula>NOT(ISERROR(SEARCH("NO",AH5)))</formula>
    </cfRule>
    <cfRule type="containsText" dxfId="0" priority="16" operator="containsText" text="YES">
      <formula>NOT(ISERROR(SEARCH("YES",AH5)))</formula>
    </cfRule>
  </conditionalFormatting>
  <pageMargins left="0.7" right="0.7" top="0.75" bottom="0.75" header="0.3" footer="0.3"/>
  <ignoredErrors>
    <ignoredError sqref="AH9 D11:AF11 AH11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1" sqref="S41"/>
    </sheetView>
  </sheetViews>
  <sheetFormatPr baseColWidth="10" defaultColWidth="5.6640625" defaultRowHeight="14" x14ac:dyDescent="0"/>
  <sheetData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 Ripple carry adder</vt:lpstr>
      <vt:lpstr>2. PROP adder</vt:lpstr>
      <vt:lpstr>3. PROP ADDER w BLOCK-P</vt:lpstr>
      <vt:lpstr>8-bit Sklansky</vt:lpstr>
      <vt:lpstr>16-bit Sklansky</vt:lpstr>
      <vt:lpstr>tree adder of your choice</vt:lpstr>
      <vt:lpstr>prefix tree adders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Jeppson</dc:creator>
  <cp:lastModifiedBy>Lena Petersson</cp:lastModifiedBy>
  <cp:lastPrinted>2014-08-19T05:47:37Z</cp:lastPrinted>
  <dcterms:created xsi:type="dcterms:W3CDTF">2013-08-26T07:07:16Z</dcterms:created>
  <dcterms:modified xsi:type="dcterms:W3CDTF">2018-10-15T20:26:45Z</dcterms:modified>
</cp:coreProperties>
</file>